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drawings/drawing7.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8.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drawings/drawing9.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drawings/drawing10.xml" ContentType="application/vnd.openxmlformats-officedocument.drawing+xml"/>
  <Override PartName="/xl/comments16.xml" ContentType="application/vnd.openxmlformats-officedocument.spreadsheetml.comments+xml"/>
  <Override PartName="/xl/comments17.xml" ContentType="application/vnd.openxmlformats-officedocument.spreadsheetml.comments+xml"/>
  <Override PartName="/xl/drawings/drawing11.xml" ContentType="application/vnd.openxmlformats-officedocument.drawing+xml"/>
  <Override PartName="/xl/comments1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or00000ovant011\Soutez OVA\Rekonstrukce PZS P7566 v km 72,988\Soupis prací\"/>
    </mc:Choice>
  </mc:AlternateContent>
  <xr:revisionPtr revIDLastSave="0" documentId="13_ncr:1_{5236219F-7494-47EA-803A-EB0CC5701239}" xr6:coauthVersionLast="47" xr6:coauthVersionMax="47" xr10:uidLastSave="{00000000-0000-0000-0000-000000000000}"/>
  <bookViews>
    <workbookView xWindow="3885" yWindow="780" windowWidth="21600" windowHeight="14655" firstSheet="10" activeTab="17" xr2:uid="{00000000-000D-0000-FFFF-FFFF00000000}"/>
  </bookViews>
  <sheets>
    <sheet name="PS 01" sheetId="2" r:id="rId1"/>
    <sheet name="PS 02" sheetId="3" r:id="rId2"/>
    <sheet name="PS 03" sheetId="4" r:id="rId3"/>
    <sheet name="SO 01-1" sheetId="6" r:id="rId4"/>
    <sheet name="SO 01-1.1" sheetId="5" r:id="rId5"/>
    <sheet name="SO 01-2.1" sheetId="7" r:id="rId6"/>
    <sheet name="SO 01-2" sheetId="8" r:id="rId7"/>
    <sheet name="SO 02-1" sheetId="9" r:id="rId8"/>
    <sheet name="SO 02-2" sheetId="10" r:id="rId9"/>
    <sheet name="SO 03-1" sheetId="11" r:id="rId10"/>
    <sheet name="SO 03-2" sheetId="12" r:id="rId11"/>
    <sheet name="SO 03-3" sheetId="13" r:id="rId12"/>
    <sheet name="SO 03-4" sheetId="14" r:id="rId13"/>
    <sheet name="SO 04-1" sheetId="15" r:id="rId14"/>
    <sheet name="SO 04-2" sheetId="16" r:id="rId15"/>
    <sheet name="SO 05" sheetId="17" r:id="rId16"/>
    <sheet name="SO 06" sheetId="18" r:id="rId17"/>
    <sheet name="SO 98-98" sheetId="20"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xlnm._FilterDatabase" localSheetId="0" hidden="1">'PS 01'!$A$12:$L$12</definedName>
    <definedName name="_xlnm._FilterDatabase" localSheetId="1" hidden="1">'PS 02'!$A$12:$L$12</definedName>
    <definedName name="_xlnm._FilterDatabase" localSheetId="2" hidden="1">'PS 03'!$A$12:$L$12</definedName>
    <definedName name="_xlnm._FilterDatabase" localSheetId="3" hidden="1">'SO 01-1'!$A$12:$L$12</definedName>
    <definedName name="_xlnm._FilterDatabase" localSheetId="4" hidden="1">'SO 01-1.1'!$A$12:$L$12</definedName>
    <definedName name="_xlnm._FilterDatabase" localSheetId="6" hidden="1">'SO 01-2'!$A$12:$L$12</definedName>
    <definedName name="_xlnm._FilterDatabase" localSheetId="5" hidden="1">'SO 01-2.1'!$A$12:$L$12</definedName>
    <definedName name="_xlnm._FilterDatabase" localSheetId="7" hidden="1">'SO 02-1'!$A$12:$L$12</definedName>
    <definedName name="_xlnm._FilterDatabase" localSheetId="8" hidden="1">'SO 02-2'!$A$12:$L$12</definedName>
    <definedName name="_xlnm._FilterDatabase" localSheetId="9" hidden="1">'SO 03-1'!$A$12:$L$12</definedName>
    <definedName name="_xlnm._FilterDatabase" localSheetId="10" hidden="1">'SO 03-2'!$A$12:$L$12</definedName>
    <definedName name="_xlnm._FilterDatabase" localSheetId="11" hidden="1">'SO 03-3'!$A$12:$L$12</definedName>
    <definedName name="_xlnm._FilterDatabase" localSheetId="12" hidden="1">'SO 03-4'!$A$12:$L$12</definedName>
    <definedName name="_xlnm._FilterDatabase" localSheetId="13" hidden="1">'SO 04-1'!$A$12:$L$12</definedName>
    <definedName name="_xlnm._FilterDatabase" localSheetId="14" hidden="1">'SO 04-2'!$A$12:$L$12</definedName>
    <definedName name="_xlnm._FilterDatabase" localSheetId="15" hidden="1">'SO 05'!$A$12:$L$12</definedName>
    <definedName name="_xlnm._FilterDatabase" localSheetId="16" hidden="1">'SO 06'!$A$12:$L$12</definedName>
    <definedName name="_xlnm._FilterDatabase" localSheetId="17" hidden="1">'SO 98-98'!$A$12:$L$12</definedName>
    <definedName name="_xlnm.Print_Titles" localSheetId="0">'PS 01'!$9:$12</definedName>
    <definedName name="_xlnm.Print_Titles" localSheetId="1">'PS 02'!$9:$12</definedName>
    <definedName name="_xlnm.Print_Titles" localSheetId="2">'PS 03'!$9:$12</definedName>
    <definedName name="_xlnm.Print_Titles" localSheetId="3">'SO 01-1'!$9:$12</definedName>
    <definedName name="_xlnm.Print_Titles" localSheetId="4">'SO 01-1.1'!$9:$12</definedName>
    <definedName name="_xlnm.Print_Titles" localSheetId="6">'SO 01-2'!$9:$12</definedName>
    <definedName name="_xlnm.Print_Titles" localSheetId="5">'SO 01-2.1'!$9:$12</definedName>
    <definedName name="_xlnm.Print_Titles" localSheetId="7">'SO 02-1'!$9:$12</definedName>
    <definedName name="_xlnm.Print_Titles" localSheetId="8">'SO 02-2'!$9:$12</definedName>
    <definedName name="_xlnm.Print_Titles" localSheetId="9">'SO 03-1'!$9:$12</definedName>
    <definedName name="_xlnm.Print_Titles" localSheetId="10">'SO 03-2'!$9:$12</definedName>
    <definedName name="_xlnm.Print_Titles" localSheetId="11">'SO 03-3'!$9:$12</definedName>
    <definedName name="_xlnm.Print_Titles" localSheetId="12">'SO 03-4'!$9:$12</definedName>
    <definedName name="_xlnm.Print_Titles" localSheetId="13">'SO 04-1'!$9:$12</definedName>
    <definedName name="_xlnm.Print_Titles" localSheetId="14">'SO 04-2'!$9:$12</definedName>
    <definedName name="_xlnm.Print_Titles" localSheetId="15">'SO 05'!$9:$12</definedName>
    <definedName name="_xlnm.Print_Titles" localSheetId="16">'SO 06'!$9:$12</definedName>
    <definedName name="_xlnm.Print_Titles" localSheetId="17">'SO 98-98'!$9:$12</definedName>
    <definedName name="_xlnm.Print_Area" localSheetId="17">'SO 98-98'!$B$1:$L$88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8" i="20" l="1"/>
  <c r="L84" i="20"/>
  <c r="J84" i="20"/>
  <c r="B84" i="20"/>
  <c r="L80" i="20" l="1"/>
  <c r="J80" i="20"/>
  <c r="L76" i="20"/>
  <c r="J76" i="20"/>
  <c r="L72" i="20"/>
  <c r="J72" i="20"/>
  <c r="L68" i="20"/>
  <c r="J68" i="20"/>
  <c r="L64" i="20"/>
  <c r="J64" i="20"/>
  <c r="L60" i="20"/>
  <c r="J60" i="20"/>
  <c r="L56" i="20"/>
  <c r="J56" i="20"/>
  <c r="L52" i="20"/>
  <c r="J52" i="20"/>
  <c r="L48" i="20"/>
  <c r="J48" i="20"/>
  <c r="L44" i="20"/>
  <c r="J44" i="20"/>
  <c r="L40" i="20"/>
  <c r="J40" i="20"/>
  <c r="L36" i="20"/>
  <c r="J36" i="20"/>
  <c r="L32" i="20"/>
  <c r="J32" i="20"/>
  <c r="L26" i="20"/>
  <c r="J26" i="20"/>
  <c r="L22" i="20"/>
  <c r="J22" i="20"/>
  <c r="L18" i="20"/>
  <c r="J18" i="20"/>
  <c r="L14" i="20"/>
  <c r="J14" i="20"/>
  <c r="B14" i="20"/>
  <c r="L9" i="20"/>
  <c r="K9" i="20"/>
  <c r="B9" i="20"/>
  <c r="F5" i="20"/>
  <c r="F4" i="20"/>
  <c r="L1" i="20"/>
  <c r="L30" i="20" l="1"/>
  <c r="B18" i="20"/>
  <c r="B22" i="20" l="1"/>
  <c r="B26" i="20" l="1"/>
  <c r="B32" i="20" s="1"/>
  <c r="B36" i="20" l="1"/>
  <c r="B40" i="20" s="1"/>
  <c r="B44" i="20" l="1"/>
  <c r="B48" i="20" s="1"/>
  <c r="B52" i="20" s="1"/>
  <c r="B56" i="20" l="1"/>
  <c r="B60" i="20" s="1"/>
  <c r="K2" i="20"/>
  <c r="B64" i="20"/>
  <c r="B68" i="20" s="1"/>
  <c r="B72" i="20" s="1"/>
  <c r="B76" i="20" s="1"/>
  <c r="B80" i="20" s="1"/>
  <c r="H196" i="18" l="1"/>
  <c r="L196" i="18" s="1"/>
  <c r="L192" i="18"/>
  <c r="H192" i="18"/>
  <c r="J192" i="18" s="1"/>
  <c r="L188" i="18"/>
  <c r="J188" i="18"/>
  <c r="H188" i="18"/>
  <c r="J184" i="18"/>
  <c r="H184" i="18"/>
  <c r="L184" i="18" s="1"/>
  <c r="H180" i="18"/>
  <c r="L180" i="18" s="1"/>
  <c r="L176" i="18"/>
  <c r="H176" i="18"/>
  <c r="J176" i="18" s="1"/>
  <c r="L172" i="18"/>
  <c r="J172" i="18"/>
  <c r="H172" i="18"/>
  <c r="J168" i="18"/>
  <c r="H168" i="18"/>
  <c r="L168" i="18" s="1"/>
  <c r="H164" i="18"/>
  <c r="L164" i="18" s="1"/>
  <c r="L160" i="18"/>
  <c r="H160" i="18"/>
  <c r="J160" i="18" s="1"/>
  <c r="L156" i="18"/>
  <c r="J156" i="18"/>
  <c r="H156" i="18"/>
  <c r="J152" i="18"/>
  <c r="H152" i="18"/>
  <c r="L152" i="18" s="1"/>
  <c r="H148" i="18"/>
  <c r="L148" i="18" s="1"/>
  <c r="L144" i="18"/>
  <c r="H144" i="18"/>
  <c r="J144" i="18" s="1"/>
  <c r="L140" i="18"/>
  <c r="J140" i="18"/>
  <c r="H140" i="18"/>
  <c r="J136" i="18"/>
  <c r="H136" i="18"/>
  <c r="L136" i="18" s="1"/>
  <c r="H132" i="18"/>
  <c r="L132" i="18" s="1"/>
  <c r="L128" i="18"/>
  <c r="H128" i="18"/>
  <c r="J128" i="18" s="1"/>
  <c r="L124" i="18"/>
  <c r="J124" i="18"/>
  <c r="H124" i="18"/>
  <c r="J120" i="18"/>
  <c r="H120" i="18"/>
  <c r="L120" i="18" s="1"/>
  <c r="H116" i="18"/>
  <c r="L116" i="18" s="1"/>
  <c r="L112" i="18"/>
  <c r="H112" i="18"/>
  <c r="J112" i="18" s="1"/>
  <c r="L108" i="18"/>
  <c r="J108" i="18"/>
  <c r="H108" i="18"/>
  <c r="J104" i="18"/>
  <c r="H104" i="18"/>
  <c r="L104" i="18" s="1"/>
  <c r="H100" i="18"/>
  <c r="L100" i="18" s="1"/>
  <c r="L96" i="18"/>
  <c r="H96" i="18"/>
  <c r="J96" i="18" s="1"/>
  <c r="L92" i="18"/>
  <c r="J92" i="18"/>
  <c r="H92" i="18"/>
  <c r="J88" i="18"/>
  <c r="H88" i="18"/>
  <c r="L88" i="18" s="1"/>
  <c r="H84" i="18"/>
  <c r="L84" i="18" s="1"/>
  <c r="L80" i="18"/>
  <c r="H80" i="18"/>
  <c r="J80" i="18" s="1"/>
  <c r="L74" i="18"/>
  <c r="H74" i="18"/>
  <c r="J74" i="18" s="1"/>
  <c r="L70" i="18"/>
  <c r="J70" i="18"/>
  <c r="H70" i="18"/>
  <c r="J66" i="18"/>
  <c r="H66" i="18"/>
  <c r="L66" i="18" s="1"/>
  <c r="H62" i="18"/>
  <c r="L62" i="18" s="1"/>
  <c r="L58" i="18"/>
  <c r="H58" i="18"/>
  <c r="J58" i="18" s="1"/>
  <c r="L54" i="18"/>
  <c r="J54" i="18"/>
  <c r="H54" i="18"/>
  <c r="J50" i="18"/>
  <c r="H50" i="18"/>
  <c r="L50" i="18" s="1"/>
  <c r="H46" i="18"/>
  <c r="L46" i="18" s="1"/>
  <c r="L78" i="18" s="1"/>
  <c r="L42" i="18"/>
  <c r="H42" i="18"/>
  <c r="J42" i="18" s="1"/>
  <c r="L36" i="18"/>
  <c r="H36" i="18"/>
  <c r="J36" i="18" s="1"/>
  <c r="L32" i="18"/>
  <c r="J32" i="18"/>
  <c r="H32" i="18"/>
  <c r="J28" i="18"/>
  <c r="H28" i="18"/>
  <c r="L28" i="18" s="1"/>
  <c r="H24" i="18"/>
  <c r="L24" i="18" s="1"/>
  <c r="L40" i="18" s="1"/>
  <c r="L20" i="18"/>
  <c r="H20" i="18"/>
  <c r="J20" i="18" s="1"/>
  <c r="L18" i="18"/>
  <c r="L14" i="18"/>
  <c r="H14" i="18"/>
  <c r="J14" i="18" s="1"/>
  <c r="K9" i="18"/>
  <c r="F5" i="18"/>
  <c r="F4" i="18"/>
  <c r="K2" i="18" l="1"/>
  <c r="L200" i="18"/>
  <c r="J24" i="18"/>
  <c r="J46" i="18"/>
  <c r="J62" i="18"/>
  <c r="J84" i="18"/>
  <c r="J100" i="18"/>
  <c r="J116" i="18"/>
  <c r="J132" i="18"/>
  <c r="J148" i="18"/>
  <c r="J164" i="18"/>
  <c r="J180" i="18"/>
  <c r="J196" i="18"/>
  <c r="H50" i="17" l="1"/>
  <c r="L50" i="17" s="1"/>
  <c r="H46" i="17"/>
  <c r="L46" i="17" s="1"/>
  <c r="H40" i="17"/>
  <c r="L40" i="17" s="1"/>
  <c r="L36" i="17"/>
  <c r="L44" i="17" s="1"/>
  <c r="H36" i="17"/>
  <c r="J36" i="17" s="1"/>
  <c r="L30" i="17"/>
  <c r="L34" i="17" s="1"/>
  <c r="H30" i="17"/>
  <c r="J30" i="17" s="1"/>
  <c r="L24" i="17"/>
  <c r="H24" i="17"/>
  <c r="J24" i="17" s="1"/>
  <c r="J20" i="17"/>
  <c r="H20" i="17"/>
  <c r="L20" i="17" s="1"/>
  <c r="L28" i="17" s="1"/>
  <c r="J14" i="17"/>
  <c r="H14" i="17"/>
  <c r="L14" i="17" s="1"/>
  <c r="L18" i="17" s="1"/>
  <c r="K9" i="17"/>
  <c r="F5" i="17"/>
  <c r="F4" i="17"/>
  <c r="K2" i="17" l="1"/>
  <c r="L54" i="17"/>
  <c r="J50" i="17"/>
  <c r="J40" i="17"/>
  <c r="J46" i="17"/>
  <c r="H140" i="16" l="1"/>
  <c r="L140" i="16" s="1"/>
  <c r="J136" i="16"/>
  <c r="H136" i="16"/>
  <c r="L136" i="16" s="1"/>
  <c r="J130" i="16"/>
  <c r="H130" i="16"/>
  <c r="L130" i="16" s="1"/>
  <c r="L126" i="16"/>
  <c r="H126" i="16"/>
  <c r="J126" i="16" s="1"/>
  <c r="J122" i="16"/>
  <c r="H122" i="16"/>
  <c r="L122" i="16" s="1"/>
  <c r="L134" i="16" s="1"/>
  <c r="J116" i="16"/>
  <c r="H116" i="16"/>
  <c r="L116" i="16" s="1"/>
  <c r="L120" i="16" s="1"/>
  <c r="J110" i="16"/>
  <c r="H110" i="16"/>
  <c r="L110" i="16" s="1"/>
  <c r="L114" i="16" s="1"/>
  <c r="J104" i="16"/>
  <c r="H104" i="16"/>
  <c r="L104" i="16" s="1"/>
  <c r="L108" i="16" s="1"/>
  <c r="J98" i="16"/>
  <c r="H98" i="16"/>
  <c r="L98" i="16" s="1"/>
  <c r="H94" i="16"/>
  <c r="L94" i="16" s="1"/>
  <c r="L90" i="16"/>
  <c r="J90" i="16"/>
  <c r="H90" i="16"/>
  <c r="L86" i="16"/>
  <c r="H86" i="16"/>
  <c r="J86" i="16" s="1"/>
  <c r="L80" i="16"/>
  <c r="H80" i="16"/>
  <c r="J80" i="16" s="1"/>
  <c r="J76" i="16"/>
  <c r="H76" i="16"/>
  <c r="L76" i="16" s="1"/>
  <c r="H72" i="16"/>
  <c r="L72" i="16" s="1"/>
  <c r="L68" i="16"/>
  <c r="L84" i="16" s="1"/>
  <c r="J68" i="16"/>
  <c r="H68" i="16"/>
  <c r="L62" i="16"/>
  <c r="J62" i="16"/>
  <c r="H62" i="16"/>
  <c r="L58" i="16"/>
  <c r="H58" i="16"/>
  <c r="J58" i="16" s="1"/>
  <c r="J54" i="16"/>
  <c r="H54" i="16"/>
  <c r="L54" i="16" s="1"/>
  <c r="H50" i="16"/>
  <c r="L50" i="16" s="1"/>
  <c r="L46" i="16"/>
  <c r="J46" i="16"/>
  <c r="H46" i="16"/>
  <c r="L42" i="16"/>
  <c r="H42" i="16"/>
  <c r="J42" i="16" s="1"/>
  <c r="J38" i="16"/>
  <c r="H38" i="16"/>
  <c r="L38" i="16" s="1"/>
  <c r="H34" i="16"/>
  <c r="L34" i="16" s="1"/>
  <c r="L30" i="16"/>
  <c r="J30" i="16"/>
  <c r="H30" i="16"/>
  <c r="L26" i="16"/>
  <c r="H26" i="16"/>
  <c r="J26" i="16" s="1"/>
  <c r="J22" i="16"/>
  <c r="H22" i="16"/>
  <c r="L22" i="16" s="1"/>
  <c r="H18" i="16"/>
  <c r="L18" i="16" s="1"/>
  <c r="L66" i="16" s="1"/>
  <c r="L14" i="16"/>
  <c r="J14" i="16"/>
  <c r="H14" i="16"/>
  <c r="K9" i="16"/>
  <c r="F5" i="16"/>
  <c r="F4" i="16"/>
  <c r="L144" i="16" l="1"/>
  <c r="K2" i="16"/>
  <c r="L102" i="16"/>
  <c r="J18" i="16"/>
  <c r="J34" i="16"/>
  <c r="J50" i="16"/>
  <c r="J72" i="16"/>
  <c r="J94" i="16"/>
  <c r="J140" i="16"/>
  <c r="H118" i="15" l="1"/>
  <c r="L118" i="15" s="1"/>
  <c r="L122" i="15" s="1"/>
  <c r="H112" i="15"/>
  <c r="J112" i="15" s="1"/>
  <c r="H108" i="15"/>
  <c r="L108" i="15" s="1"/>
  <c r="L104" i="15"/>
  <c r="H104" i="15"/>
  <c r="J104" i="15" s="1"/>
  <c r="L98" i="15"/>
  <c r="L102" i="15" s="1"/>
  <c r="H98" i="15"/>
  <c r="J98" i="15" s="1"/>
  <c r="L92" i="15"/>
  <c r="L96" i="15" s="1"/>
  <c r="H92" i="15"/>
  <c r="J92" i="15" s="1"/>
  <c r="L86" i="15"/>
  <c r="H86" i="15"/>
  <c r="J86" i="15" s="1"/>
  <c r="L82" i="15"/>
  <c r="J82" i="15"/>
  <c r="H82" i="15"/>
  <c r="H78" i="15"/>
  <c r="L78" i="15" s="1"/>
  <c r="L90" i="15" s="1"/>
  <c r="H72" i="15"/>
  <c r="L72" i="15" s="1"/>
  <c r="H68" i="15"/>
  <c r="L68" i="15" s="1"/>
  <c r="L64" i="15"/>
  <c r="H64" i="15"/>
  <c r="J64" i="15" s="1"/>
  <c r="L60" i="15"/>
  <c r="J60" i="15"/>
  <c r="H60" i="15"/>
  <c r="L54" i="15"/>
  <c r="J54" i="15"/>
  <c r="H54" i="15"/>
  <c r="H50" i="15"/>
  <c r="L50" i="15" s="1"/>
  <c r="H46" i="15"/>
  <c r="L46" i="15" s="1"/>
  <c r="L42" i="15"/>
  <c r="H42" i="15"/>
  <c r="J42" i="15" s="1"/>
  <c r="L38" i="15"/>
  <c r="J38" i="15"/>
  <c r="H38" i="15"/>
  <c r="H34" i="15"/>
  <c r="L34" i="15" s="1"/>
  <c r="H30" i="15"/>
  <c r="L30" i="15" s="1"/>
  <c r="L26" i="15"/>
  <c r="H26" i="15"/>
  <c r="J26" i="15" s="1"/>
  <c r="L22" i="15"/>
  <c r="J22" i="15"/>
  <c r="H22" i="15"/>
  <c r="H18" i="15"/>
  <c r="J18" i="15" s="1"/>
  <c r="H14" i="15"/>
  <c r="L14" i="15" s="1"/>
  <c r="K9" i="15"/>
  <c r="F5" i="15"/>
  <c r="F4" i="15"/>
  <c r="L76" i="15" l="1"/>
  <c r="L58" i="15"/>
  <c r="J34" i="15"/>
  <c r="J50" i="15"/>
  <c r="J72" i="15"/>
  <c r="J78" i="15"/>
  <c r="J118" i="15"/>
  <c r="J14" i="15"/>
  <c r="L18" i="15"/>
  <c r="J30" i="15"/>
  <c r="J46" i="15"/>
  <c r="J68" i="15"/>
  <c r="J108" i="15"/>
  <c r="L112" i="15"/>
  <c r="L116" i="15" s="1"/>
  <c r="K2" i="15" l="1"/>
  <c r="H160" i="14" l="1"/>
  <c r="L160" i="14" s="1"/>
  <c r="L156" i="14"/>
  <c r="H156" i="14"/>
  <c r="J156" i="14" s="1"/>
  <c r="L152" i="14"/>
  <c r="L164" i="14" s="1"/>
  <c r="J152" i="14"/>
  <c r="H152" i="14"/>
  <c r="L146" i="14"/>
  <c r="J146" i="14"/>
  <c r="H146" i="14"/>
  <c r="J142" i="14"/>
  <c r="H142" i="14"/>
  <c r="L142" i="14" s="1"/>
  <c r="H138" i="14"/>
  <c r="L138" i="14" s="1"/>
  <c r="L134" i="14"/>
  <c r="H134" i="14"/>
  <c r="J134" i="14" s="1"/>
  <c r="L130" i="14"/>
  <c r="J130" i="14"/>
  <c r="H130" i="14"/>
  <c r="J126" i="14"/>
  <c r="H126" i="14"/>
  <c r="L126" i="14" s="1"/>
  <c r="H122" i="14"/>
  <c r="L122" i="14" s="1"/>
  <c r="L118" i="14"/>
  <c r="H118" i="14"/>
  <c r="J118" i="14" s="1"/>
  <c r="L114" i="14"/>
  <c r="J114" i="14"/>
  <c r="H114" i="14"/>
  <c r="J110" i="14"/>
  <c r="H110" i="14"/>
  <c r="L110" i="14" s="1"/>
  <c r="H106" i="14"/>
  <c r="L106" i="14" s="1"/>
  <c r="L102" i="14"/>
  <c r="H102" i="14"/>
  <c r="J102" i="14" s="1"/>
  <c r="L98" i="14"/>
  <c r="J98" i="14"/>
  <c r="H98" i="14"/>
  <c r="J94" i="14"/>
  <c r="H94" i="14"/>
  <c r="L94" i="14" s="1"/>
  <c r="H90" i="14"/>
  <c r="L90" i="14" s="1"/>
  <c r="L86" i="14"/>
  <c r="H86" i="14"/>
  <c r="J86" i="14" s="1"/>
  <c r="L84" i="14"/>
  <c r="L80" i="14"/>
  <c r="H80" i="14"/>
  <c r="J80" i="14" s="1"/>
  <c r="L74" i="14"/>
  <c r="H74" i="14"/>
  <c r="J74" i="14" s="1"/>
  <c r="L70" i="14"/>
  <c r="J70" i="14"/>
  <c r="H70" i="14"/>
  <c r="J66" i="14"/>
  <c r="H66" i="14"/>
  <c r="L66" i="14" s="1"/>
  <c r="L78" i="14" s="1"/>
  <c r="J60" i="14"/>
  <c r="H60" i="14"/>
  <c r="L60" i="14" s="1"/>
  <c r="H56" i="14"/>
  <c r="L56" i="14" s="1"/>
  <c r="L64" i="14" s="1"/>
  <c r="H50" i="14"/>
  <c r="L50" i="14" s="1"/>
  <c r="L46" i="14"/>
  <c r="H46" i="14"/>
  <c r="J46" i="14" s="1"/>
  <c r="L42" i="14"/>
  <c r="J42" i="14"/>
  <c r="H42" i="14"/>
  <c r="J38" i="14"/>
  <c r="H38" i="14"/>
  <c r="L38" i="14" s="1"/>
  <c r="H34" i="14"/>
  <c r="L34" i="14" s="1"/>
  <c r="L30" i="14"/>
  <c r="H30" i="14"/>
  <c r="J30" i="14" s="1"/>
  <c r="L26" i="14"/>
  <c r="J26" i="14"/>
  <c r="H26" i="14"/>
  <c r="J22" i="14"/>
  <c r="H22" i="14"/>
  <c r="L22" i="14" s="1"/>
  <c r="H18" i="14"/>
  <c r="L18" i="14" s="1"/>
  <c r="L14" i="14"/>
  <c r="H14" i="14"/>
  <c r="J14" i="14" s="1"/>
  <c r="K9" i="14"/>
  <c r="F5" i="14"/>
  <c r="F4" i="14"/>
  <c r="L54" i="14" l="1"/>
  <c r="K2" i="14" s="1"/>
  <c r="L150" i="14"/>
  <c r="J18" i="14"/>
  <c r="J34" i="14"/>
  <c r="J50" i="14"/>
  <c r="J56" i="14"/>
  <c r="J90" i="14"/>
  <c r="J106" i="14"/>
  <c r="J122" i="14"/>
  <c r="J138" i="14"/>
  <c r="J160" i="14"/>
  <c r="H84" i="13" l="1"/>
  <c r="J84" i="13" s="1"/>
  <c r="H80" i="13"/>
  <c r="L80" i="13" s="1"/>
  <c r="H74" i="13"/>
  <c r="L74" i="13" s="1"/>
  <c r="L70" i="13"/>
  <c r="L78" i="13" s="1"/>
  <c r="H70" i="13"/>
  <c r="J70" i="13" s="1"/>
  <c r="L66" i="13"/>
  <c r="J66" i="13"/>
  <c r="H66" i="13"/>
  <c r="L60" i="13"/>
  <c r="L64" i="13" s="1"/>
  <c r="J60" i="13"/>
  <c r="H60" i="13"/>
  <c r="L54" i="13"/>
  <c r="J54" i="13"/>
  <c r="H54" i="13"/>
  <c r="H50" i="13"/>
  <c r="J50" i="13" s="1"/>
  <c r="H46" i="13"/>
  <c r="L46" i="13" s="1"/>
  <c r="L42" i="13"/>
  <c r="H42" i="13"/>
  <c r="J42" i="13" s="1"/>
  <c r="L38" i="13"/>
  <c r="J38" i="13"/>
  <c r="H38" i="13"/>
  <c r="H34" i="13"/>
  <c r="J34" i="13" s="1"/>
  <c r="H28" i="13"/>
  <c r="J28" i="13" s="1"/>
  <c r="H22" i="13"/>
  <c r="J22" i="13" s="1"/>
  <c r="H18" i="13"/>
  <c r="L18" i="13" s="1"/>
  <c r="L14" i="13"/>
  <c r="H14" i="13"/>
  <c r="J14" i="13" s="1"/>
  <c r="K9" i="13"/>
  <c r="F5" i="13"/>
  <c r="F4" i="13"/>
  <c r="J18" i="13" l="1"/>
  <c r="L22" i="13"/>
  <c r="L26" i="13" s="1"/>
  <c r="L28" i="13"/>
  <c r="L32" i="13" s="1"/>
  <c r="L34" i="13"/>
  <c r="J46" i="13"/>
  <c r="L50" i="13"/>
  <c r="J74" i="13"/>
  <c r="J80" i="13"/>
  <c r="L84" i="13"/>
  <c r="L88" i="13" s="1"/>
  <c r="K2" i="13" l="1"/>
  <c r="L58" i="13"/>
  <c r="H36" i="12" l="1"/>
  <c r="L36" i="12" s="1"/>
  <c r="L40" i="12" s="1"/>
  <c r="H30" i="12"/>
  <c r="L30" i="12" s="1"/>
  <c r="H26" i="12"/>
  <c r="L26" i="12" s="1"/>
  <c r="L34" i="12" s="1"/>
  <c r="H20" i="12"/>
  <c r="L20" i="12" s="1"/>
  <c r="L24" i="12" s="1"/>
  <c r="H14" i="12"/>
  <c r="L14" i="12" s="1"/>
  <c r="L18" i="12" s="1"/>
  <c r="K2" i="12" s="1"/>
  <c r="K9" i="12"/>
  <c r="F5" i="12"/>
  <c r="F4" i="12"/>
  <c r="J30" i="12" l="1"/>
  <c r="J36" i="12"/>
  <c r="J14" i="12"/>
  <c r="J20" i="12"/>
  <c r="J26" i="12"/>
  <c r="H28" i="11" l="1"/>
  <c r="L28" i="11" s="1"/>
  <c r="H24" i="11"/>
  <c r="L24" i="11" s="1"/>
  <c r="L20" i="11"/>
  <c r="H20" i="11"/>
  <c r="J20" i="11" s="1"/>
  <c r="L14" i="11"/>
  <c r="L18" i="11" s="1"/>
  <c r="H14" i="11"/>
  <c r="J14" i="11" s="1"/>
  <c r="K9" i="11"/>
  <c r="F5" i="11"/>
  <c r="F4" i="11"/>
  <c r="L32" i="11" l="1"/>
  <c r="K2" i="11"/>
  <c r="J28" i="11"/>
  <c r="J24" i="11"/>
  <c r="H42" i="10" l="1"/>
  <c r="L42" i="10" s="1"/>
  <c r="L46" i="10" s="1"/>
  <c r="H36" i="10"/>
  <c r="L36" i="10" s="1"/>
  <c r="L40" i="10" s="1"/>
  <c r="H30" i="10"/>
  <c r="L30" i="10" s="1"/>
  <c r="L34" i="10" s="1"/>
  <c r="H24" i="10"/>
  <c r="L24" i="10" s="1"/>
  <c r="H20" i="10"/>
  <c r="L20" i="10" s="1"/>
  <c r="H14" i="10"/>
  <c r="L14" i="10" s="1"/>
  <c r="L18" i="10" s="1"/>
  <c r="K9" i="10"/>
  <c r="F5" i="10"/>
  <c r="F4" i="10"/>
  <c r="L28" i="10" l="1"/>
  <c r="K2" i="10" s="1"/>
  <c r="J42" i="10"/>
  <c r="J24" i="10"/>
  <c r="J30" i="10"/>
  <c r="J36" i="10"/>
  <c r="J14" i="10"/>
  <c r="J20" i="10"/>
  <c r="H42" i="9" l="1"/>
  <c r="J42" i="9" s="1"/>
  <c r="H36" i="9"/>
  <c r="J36" i="9" s="1"/>
  <c r="H30" i="9"/>
  <c r="J30" i="9" s="1"/>
  <c r="H24" i="9"/>
  <c r="J24" i="9" s="1"/>
  <c r="H20" i="9"/>
  <c r="L20" i="9" s="1"/>
  <c r="H14" i="9"/>
  <c r="L14" i="9" s="1"/>
  <c r="L18" i="9" s="1"/>
  <c r="K9" i="9"/>
  <c r="F5" i="9"/>
  <c r="F4" i="9"/>
  <c r="J14" i="9" l="1"/>
  <c r="J20" i="9"/>
  <c r="L24" i="9"/>
  <c r="L28" i="9" s="1"/>
  <c r="K2" i="9" s="1"/>
  <c r="L30" i="9"/>
  <c r="L34" i="9" s="1"/>
  <c r="L36" i="9"/>
  <c r="L40" i="9" s="1"/>
  <c r="L42" i="9"/>
  <c r="L46" i="9" s="1"/>
  <c r="H86" i="8" l="1"/>
  <c r="L86" i="8" s="1"/>
  <c r="H82" i="8"/>
  <c r="L82" i="8" s="1"/>
  <c r="L90" i="8" s="1"/>
  <c r="H76" i="8"/>
  <c r="L76" i="8" s="1"/>
  <c r="L72" i="8"/>
  <c r="H72" i="8"/>
  <c r="J72" i="8" s="1"/>
  <c r="L68" i="8"/>
  <c r="J68" i="8"/>
  <c r="H68" i="8"/>
  <c r="H64" i="8"/>
  <c r="L64" i="8" s="1"/>
  <c r="H60" i="8"/>
  <c r="L60" i="8" s="1"/>
  <c r="L56" i="8"/>
  <c r="L80" i="8" s="1"/>
  <c r="H56" i="8"/>
  <c r="J56" i="8" s="1"/>
  <c r="L52" i="8"/>
  <c r="J52" i="8"/>
  <c r="H52" i="8"/>
  <c r="L46" i="8"/>
  <c r="J46" i="8"/>
  <c r="H46" i="8"/>
  <c r="H42" i="8"/>
  <c r="L42" i="8" s="1"/>
  <c r="H38" i="8"/>
  <c r="L38" i="8" s="1"/>
  <c r="L34" i="8"/>
  <c r="H34" i="8"/>
  <c r="J34" i="8" s="1"/>
  <c r="L30" i="8"/>
  <c r="J30" i="8"/>
  <c r="H30" i="8"/>
  <c r="H26" i="8"/>
  <c r="L26" i="8" s="1"/>
  <c r="H22" i="8"/>
  <c r="L22" i="8" s="1"/>
  <c r="L18" i="8"/>
  <c r="H18" i="8"/>
  <c r="J18" i="8" s="1"/>
  <c r="L14" i="8"/>
  <c r="J14" i="8"/>
  <c r="H14" i="8"/>
  <c r="K9" i="8"/>
  <c r="F5" i="8"/>
  <c r="F4" i="8"/>
  <c r="L50" i="8" l="1"/>
  <c r="K2" i="8" s="1"/>
  <c r="J42" i="8"/>
  <c r="J64" i="8"/>
  <c r="J86" i="8"/>
  <c r="J26" i="8"/>
  <c r="J22" i="8"/>
  <c r="J38" i="8"/>
  <c r="J60" i="8"/>
  <c r="J76" i="8"/>
  <c r="J82" i="8"/>
  <c r="H30" i="7" l="1"/>
  <c r="L30" i="7" s="1"/>
  <c r="L34" i="7" s="1"/>
  <c r="H24" i="7"/>
  <c r="L24" i="7" s="1"/>
  <c r="L28" i="7" s="1"/>
  <c r="H18" i="7"/>
  <c r="L18" i="7" s="1"/>
  <c r="H14" i="7"/>
  <c r="L14" i="7" s="1"/>
  <c r="L22" i="7" s="1"/>
  <c r="K2" i="7" s="1"/>
  <c r="K9" i="7"/>
  <c r="F5" i="7"/>
  <c r="F4" i="7"/>
  <c r="J18" i="7" l="1"/>
  <c r="J24" i="7"/>
  <c r="J30" i="7"/>
  <c r="J14" i="7"/>
  <c r="H82" i="6" l="1"/>
  <c r="L82" i="6" s="1"/>
  <c r="H78" i="6"/>
  <c r="L78" i="6" s="1"/>
  <c r="L74" i="6"/>
  <c r="L86" i="6" s="1"/>
  <c r="H74" i="6"/>
  <c r="J74" i="6" s="1"/>
  <c r="L68" i="6"/>
  <c r="H68" i="6"/>
  <c r="J68" i="6" s="1"/>
  <c r="L64" i="6"/>
  <c r="J64" i="6"/>
  <c r="H64" i="6"/>
  <c r="H60" i="6"/>
  <c r="L60" i="6" s="1"/>
  <c r="H56" i="6"/>
  <c r="L56" i="6" s="1"/>
  <c r="L52" i="6"/>
  <c r="H52" i="6"/>
  <c r="J52" i="6" s="1"/>
  <c r="L48" i="6"/>
  <c r="J48" i="6"/>
  <c r="H48" i="6"/>
  <c r="L42" i="6"/>
  <c r="J42" i="6"/>
  <c r="H42" i="6"/>
  <c r="H38" i="6"/>
  <c r="L38" i="6" s="1"/>
  <c r="H34" i="6"/>
  <c r="L34" i="6" s="1"/>
  <c r="L30" i="6"/>
  <c r="H30" i="6"/>
  <c r="J30" i="6" s="1"/>
  <c r="L26" i="6"/>
  <c r="J26" i="6"/>
  <c r="H26" i="6"/>
  <c r="H22" i="6"/>
  <c r="L22" i="6" s="1"/>
  <c r="H18" i="6"/>
  <c r="L18" i="6" s="1"/>
  <c r="L14" i="6"/>
  <c r="H14" i="6"/>
  <c r="J14" i="6" s="1"/>
  <c r="K9" i="6"/>
  <c r="F5" i="6"/>
  <c r="F4" i="6"/>
  <c r="L72" i="6" l="1"/>
  <c r="L46" i="6"/>
  <c r="K2" i="6" s="1"/>
  <c r="J22" i="6"/>
  <c r="J38" i="6"/>
  <c r="J60" i="6"/>
  <c r="J82" i="6"/>
  <c r="J18" i="6"/>
  <c r="J34" i="6"/>
  <c r="J56" i="6"/>
  <c r="J78" i="6"/>
  <c r="H30" i="5" l="1"/>
  <c r="J30" i="5" s="1"/>
  <c r="H24" i="5"/>
  <c r="J24" i="5" s="1"/>
  <c r="H18" i="5"/>
  <c r="J18" i="5" s="1"/>
  <c r="H14" i="5"/>
  <c r="L14" i="5" s="1"/>
  <c r="K9" i="5"/>
  <c r="F5" i="5"/>
  <c r="F4" i="5"/>
  <c r="J14" i="5" l="1"/>
  <c r="L18" i="5"/>
  <c r="L22" i="5" s="1"/>
  <c r="K2" i="5" s="1"/>
  <c r="L24" i="5"/>
  <c r="L28" i="5" s="1"/>
  <c r="L30" i="5"/>
  <c r="L34" i="5" s="1"/>
  <c r="H192" i="4" l="1"/>
  <c r="L192" i="4" s="1"/>
  <c r="L188" i="4"/>
  <c r="J188" i="4"/>
  <c r="H188" i="4"/>
  <c r="H184" i="4"/>
  <c r="J184" i="4" s="1"/>
  <c r="J180" i="4"/>
  <c r="H180" i="4"/>
  <c r="L180" i="4" s="1"/>
  <c r="L176" i="4"/>
  <c r="H176" i="4"/>
  <c r="J176" i="4" s="1"/>
  <c r="L172" i="4"/>
  <c r="J172" i="4"/>
  <c r="H172" i="4"/>
  <c r="L166" i="4"/>
  <c r="J166" i="4"/>
  <c r="H166" i="4"/>
  <c r="H162" i="4"/>
  <c r="J162" i="4" s="1"/>
  <c r="J158" i="4"/>
  <c r="H158" i="4"/>
  <c r="L158" i="4" s="1"/>
  <c r="L154" i="4"/>
  <c r="H154" i="4"/>
  <c r="J154" i="4" s="1"/>
  <c r="L150" i="4"/>
  <c r="J150" i="4"/>
  <c r="H150" i="4"/>
  <c r="L144" i="4"/>
  <c r="J144" i="4"/>
  <c r="H144" i="4"/>
  <c r="H140" i="4"/>
  <c r="J140" i="4" s="1"/>
  <c r="J136" i="4"/>
  <c r="H136" i="4"/>
  <c r="L136" i="4" s="1"/>
  <c r="L132" i="4"/>
  <c r="H132" i="4"/>
  <c r="J132" i="4" s="1"/>
  <c r="L128" i="4"/>
  <c r="J128" i="4"/>
  <c r="H128" i="4"/>
  <c r="H124" i="4"/>
  <c r="J124" i="4" s="1"/>
  <c r="J120" i="4"/>
  <c r="H120" i="4"/>
  <c r="L120" i="4" s="1"/>
  <c r="L116" i="4"/>
  <c r="H116" i="4"/>
  <c r="J116" i="4" s="1"/>
  <c r="L112" i="4"/>
  <c r="J112" i="4"/>
  <c r="H112" i="4"/>
  <c r="H108" i="4"/>
  <c r="J108" i="4" s="1"/>
  <c r="H104" i="4"/>
  <c r="L104" i="4" s="1"/>
  <c r="L100" i="4"/>
  <c r="H100" i="4"/>
  <c r="J100" i="4" s="1"/>
  <c r="L94" i="4"/>
  <c r="H94" i="4"/>
  <c r="J94" i="4" s="1"/>
  <c r="L90" i="4"/>
  <c r="J90" i="4"/>
  <c r="H90" i="4"/>
  <c r="H86" i="4"/>
  <c r="J86" i="4" s="1"/>
  <c r="H82" i="4"/>
  <c r="L82" i="4" s="1"/>
  <c r="L78" i="4"/>
  <c r="H78" i="4"/>
  <c r="J78" i="4" s="1"/>
  <c r="L72" i="4"/>
  <c r="H72" i="4"/>
  <c r="J72" i="4" s="1"/>
  <c r="L68" i="4"/>
  <c r="J68" i="4"/>
  <c r="H68" i="4"/>
  <c r="H64" i="4"/>
  <c r="J64" i="4" s="1"/>
  <c r="H60" i="4"/>
  <c r="L60" i="4" s="1"/>
  <c r="H54" i="4"/>
  <c r="L54" i="4" s="1"/>
  <c r="L50" i="4"/>
  <c r="H50" i="4"/>
  <c r="J50" i="4" s="1"/>
  <c r="L46" i="4"/>
  <c r="J46" i="4"/>
  <c r="H46" i="4"/>
  <c r="H42" i="4"/>
  <c r="J42" i="4" s="1"/>
  <c r="H38" i="4"/>
  <c r="L38" i="4" s="1"/>
  <c r="L34" i="4"/>
  <c r="H34" i="4"/>
  <c r="J34" i="4" s="1"/>
  <c r="L28" i="4"/>
  <c r="H28" i="4"/>
  <c r="J28" i="4" s="1"/>
  <c r="L24" i="4"/>
  <c r="L32" i="4" s="1"/>
  <c r="J24" i="4"/>
  <c r="H24" i="4"/>
  <c r="L18" i="4"/>
  <c r="J18" i="4"/>
  <c r="H18" i="4"/>
  <c r="H14" i="4"/>
  <c r="J14" i="4" s="1"/>
  <c r="K9" i="4"/>
  <c r="F5" i="4"/>
  <c r="F4" i="4"/>
  <c r="L76" i="4" l="1"/>
  <c r="L170" i="4"/>
  <c r="L14" i="4"/>
  <c r="L22" i="4" s="1"/>
  <c r="J38" i="4"/>
  <c r="L42" i="4"/>
  <c r="L58" i="4" s="1"/>
  <c r="J54" i="4"/>
  <c r="J60" i="4"/>
  <c r="L64" i="4"/>
  <c r="J82" i="4"/>
  <c r="L86" i="4"/>
  <c r="L98" i="4" s="1"/>
  <c r="J104" i="4"/>
  <c r="L108" i="4"/>
  <c r="L148" i="4" s="1"/>
  <c r="L124" i="4"/>
  <c r="L140" i="4"/>
  <c r="L162" i="4"/>
  <c r="L184" i="4"/>
  <c r="L196" i="4" s="1"/>
  <c r="J192" i="4"/>
  <c r="K2" i="4" l="1"/>
  <c r="H262" i="3" l="1"/>
  <c r="L262" i="3" s="1"/>
  <c r="L258" i="3"/>
  <c r="H258" i="3"/>
  <c r="J258" i="3" s="1"/>
  <c r="L254" i="3"/>
  <c r="J254" i="3"/>
  <c r="H254" i="3"/>
  <c r="L248" i="3"/>
  <c r="J248" i="3"/>
  <c r="H248" i="3"/>
  <c r="H244" i="3"/>
  <c r="L244" i="3" s="1"/>
  <c r="H240" i="3"/>
  <c r="L240" i="3" s="1"/>
  <c r="L236" i="3"/>
  <c r="H236" i="3"/>
  <c r="J236" i="3" s="1"/>
  <c r="L232" i="3"/>
  <c r="J232" i="3"/>
  <c r="H232" i="3"/>
  <c r="H228" i="3"/>
  <c r="L228" i="3" s="1"/>
  <c r="H224" i="3"/>
  <c r="L224" i="3" s="1"/>
  <c r="L220" i="3"/>
  <c r="H220" i="3"/>
  <c r="J220" i="3" s="1"/>
  <c r="L216" i="3"/>
  <c r="L252" i="3" s="1"/>
  <c r="J216" i="3"/>
  <c r="H216" i="3"/>
  <c r="L210" i="3"/>
  <c r="J210" i="3"/>
  <c r="H210" i="3"/>
  <c r="H206" i="3"/>
  <c r="L206" i="3" s="1"/>
  <c r="H202" i="3"/>
  <c r="L202" i="3" s="1"/>
  <c r="L198" i="3"/>
  <c r="H198" i="3"/>
  <c r="J198" i="3" s="1"/>
  <c r="L194" i="3"/>
  <c r="J194" i="3"/>
  <c r="H194" i="3"/>
  <c r="L188" i="3"/>
  <c r="J188" i="3"/>
  <c r="H188" i="3"/>
  <c r="H184" i="3"/>
  <c r="L184" i="3" s="1"/>
  <c r="H180" i="3"/>
  <c r="L180" i="3" s="1"/>
  <c r="L176" i="3"/>
  <c r="H176" i="3"/>
  <c r="J176" i="3" s="1"/>
  <c r="L172" i="3"/>
  <c r="J172" i="3"/>
  <c r="H172" i="3"/>
  <c r="H168" i="3"/>
  <c r="L168" i="3" s="1"/>
  <c r="H164" i="3"/>
  <c r="L164" i="3" s="1"/>
  <c r="L160" i="3"/>
  <c r="H160" i="3"/>
  <c r="J160" i="3" s="1"/>
  <c r="L156" i="3"/>
  <c r="J156" i="3"/>
  <c r="H156" i="3"/>
  <c r="L150" i="3"/>
  <c r="J150" i="3"/>
  <c r="H150" i="3"/>
  <c r="H146" i="3"/>
  <c r="L146" i="3" s="1"/>
  <c r="H142" i="3"/>
  <c r="L142" i="3" s="1"/>
  <c r="L138" i="3"/>
  <c r="H138" i="3"/>
  <c r="J138" i="3" s="1"/>
  <c r="L134" i="3"/>
  <c r="J134" i="3"/>
  <c r="H134" i="3"/>
  <c r="H130" i="3"/>
  <c r="L130" i="3" s="1"/>
  <c r="H126" i="3"/>
  <c r="L126" i="3" s="1"/>
  <c r="L122" i="3"/>
  <c r="H122" i="3"/>
  <c r="J122" i="3" s="1"/>
  <c r="L118" i="3"/>
  <c r="J118" i="3"/>
  <c r="H118" i="3"/>
  <c r="H114" i="3"/>
  <c r="L114" i="3" s="1"/>
  <c r="H110" i="3"/>
  <c r="L110" i="3" s="1"/>
  <c r="L106" i="3"/>
  <c r="H106" i="3"/>
  <c r="J106" i="3" s="1"/>
  <c r="L102" i="3"/>
  <c r="J102" i="3"/>
  <c r="H102" i="3"/>
  <c r="H98" i="3"/>
  <c r="L98" i="3" s="1"/>
  <c r="H94" i="3"/>
  <c r="L94" i="3" s="1"/>
  <c r="L90" i="3"/>
  <c r="L154" i="3" s="1"/>
  <c r="H90" i="3"/>
  <c r="J90" i="3" s="1"/>
  <c r="L84" i="3"/>
  <c r="H84" i="3"/>
  <c r="J84" i="3" s="1"/>
  <c r="L80" i="3"/>
  <c r="J80" i="3"/>
  <c r="H80" i="3"/>
  <c r="H76" i="3"/>
  <c r="L76" i="3" s="1"/>
  <c r="H72" i="3"/>
  <c r="L72" i="3" s="1"/>
  <c r="L88" i="3" s="1"/>
  <c r="H66" i="3"/>
  <c r="L66" i="3" s="1"/>
  <c r="L62" i="3"/>
  <c r="H62" i="3"/>
  <c r="J62" i="3" s="1"/>
  <c r="L58" i="3"/>
  <c r="J58" i="3"/>
  <c r="H58" i="3"/>
  <c r="H54" i="3"/>
  <c r="L54" i="3" s="1"/>
  <c r="H50" i="3"/>
  <c r="L50" i="3" s="1"/>
  <c r="L46" i="3"/>
  <c r="H46" i="3"/>
  <c r="J46" i="3" s="1"/>
  <c r="L42" i="3"/>
  <c r="J42" i="3"/>
  <c r="H42" i="3"/>
  <c r="H38" i="3"/>
  <c r="L38" i="3" s="1"/>
  <c r="H32" i="3"/>
  <c r="L32" i="3" s="1"/>
  <c r="H28" i="3"/>
  <c r="L28" i="3" s="1"/>
  <c r="L24" i="3"/>
  <c r="H24" i="3"/>
  <c r="J24" i="3" s="1"/>
  <c r="L18" i="3"/>
  <c r="H18" i="3"/>
  <c r="J18" i="3" s="1"/>
  <c r="L14" i="3"/>
  <c r="L22" i="3" s="1"/>
  <c r="J14" i="3"/>
  <c r="H14" i="3"/>
  <c r="K9" i="3"/>
  <c r="F5" i="3"/>
  <c r="F4" i="3"/>
  <c r="L192" i="3" l="1"/>
  <c r="L70" i="3"/>
  <c r="L214" i="3"/>
  <c r="K2" i="3"/>
  <c r="L36" i="3"/>
  <c r="L266" i="3"/>
  <c r="J32" i="3"/>
  <c r="J38" i="3"/>
  <c r="J54" i="3"/>
  <c r="J76" i="3"/>
  <c r="J98" i="3"/>
  <c r="J114" i="3"/>
  <c r="J130" i="3"/>
  <c r="J146" i="3"/>
  <c r="J168" i="3"/>
  <c r="J184" i="3"/>
  <c r="J206" i="3"/>
  <c r="J228" i="3"/>
  <c r="J244" i="3"/>
  <c r="J28" i="3"/>
  <c r="J50" i="3"/>
  <c r="J66" i="3"/>
  <c r="J72" i="3"/>
  <c r="J94" i="3"/>
  <c r="J110" i="3"/>
  <c r="J126" i="3"/>
  <c r="J142" i="3"/>
  <c r="J164" i="3"/>
  <c r="J180" i="3"/>
  <c r="J202" i="3"/>
  <c r="J224" i="3"/>
  <c r="J240" i="3"/>
  <c r="J262" i="3"/>
  <c r="H260" i="2" l="1"/>
  <c r="L260" i="2" s="1"/>
  <c r="H256" i="2"/>
  <c r="L256" i="2" s="1"/>
  <c r="L252" i="2"/>
  <c r="H252" i="2"/>
  <c r="J252" i="2" s="1"/>
  <c r="L248" i="2"/>
  <c r="J248" i="2"/>
  <c r="H248" i="2"/>
  <c r="H244" i="2"/>
  <c r="J244" i="2" s="1"/>
  <c r="H240" i="2"/>
  <c r="L240" i="2" s="1"/>
  <c r="L236" i="2"/>
  <c r="H236" i="2"/>
  <c r="J236" i="2" s="1"/>
  <c r="L232" i="2"/>
  <c r="J232" i="2"/>
  <c r="H232" i="2"/>
  <c r="H228" i="2"/>
  <c r="L228" i="2" s="1"/>
  <c r="H224" i="2"/>
  <c r="L224" i="2" s="1"/>
  <c r="L220" i="2"/>
  <c r="H220" i="2"/>
  <c r="J220" i="2" s="1"/>
  <c r="L214" i="2"/>
  <c r="H214" i="2"/>
  <c r="J214" i="2" s="1"/>
  <c r="L210" i="2"/>
  <c r="J210" i="2"/>
  <c r="H210" i="2"/>
  <c r="H206" i="2"/>
  <c r="L206" i="2" s="1"/>
  <c r="H202" i="2"/>
  <c r="L202" i="2" s="1"/>
  <c r="H196" i="2"/>
  <c r="L196" i="2" s="1"/>
  <c r="L192" i="2"/>
  <c r="L200" i="2" s="1"/>
  <c r="H192" i="2"/>
  <c r="J192" i="2" s="1"/>
  <c r="L186" i="2"/>
  <c r="H186" i="2"/>
  <c r="J186" i="2" s="1"/>
  <c r="L182" i="2"/>
  <c r="J182" i="2"/>
  <c r="H182" i="2"/>
  <c r="H178" i="2"/>
  <c r="J178" i="2" s="1"/>
  <c r="H174" i="2"/>
  <c r="L174" i="2" s="1"/>
  <c r="L170" i="2"/>
  <c r="H170" i="2"/>
  <c r="J170" i="2" s="1"/>
  <c r="L166" i="2"/>
  <c r="J166" i="2"/>
  <c r="H166" i="2"/>
  <c r="H162" i="2"/>
  <c r="L162" i="2" s="1"/>
  <c r="H158" i="2"/>
  <c r="L158" i="2" s="1"/>
  <c r="L154" i="2"/>
  <c r="H154" i="2"/>
  <c r="J154" i="2" s="1"/>
  <c r="L148" i="2"/>
  <c r="H148" i="2"/>
  <c r="J148" i="2" s="1"/>
  <c r="L144" i="2"/>
  <c r="J144" i="2"/>
  <c r="H144" i="2"/>
  <c r="H140" i="2"/>
  <c r="J140" i="2" s="1"/>
  <c r="H136" i="2"/>
  <c r="L136" i="2" s="1"/>
  <c r="L132" i="2"/>
  <c r="J132" i="2"/>
  <c r="H132" i="2"/>
  <c r="L128" i="2"/>
  <c r="J128" i="2"/>
  <c r="H128" i="2"/>
  <c r="H124" i="2"/>
  <c r="L124" i="2" s="1"/>
  <c r="H118" i="2"/>
  <c r="L118" i="2" s="1"/>
  <c r="H114" i="2"/>
  <c r="L114" i="2" s="1"/>
  <c r="L110" i="2"/>
  <c r="J110" i="2"/>
  <c r="H110" i="2"/>
  <c r="L106" i="2"/>
  <c r="J106" i="2"/>
  <c r="H106" i="2"/>
  <c r="H102" i="2"/>
  <c r="J102" i="2" s="1"/>
  <c r="H98" i="2"/>
  <c r="L98" i="2" s="1"/>
  <c r="L94" i="2"/>
  <c r="J94" i="2"/>
  <c r="H94" i="2"/>
  <c r="L88" i="2"/>
  <c r="L92" i="2" s="1"/>
  <c r="J88" i="2"/>
  <c r="H88" i="2"/>
  <c r="L82" i="2"/>
  <c r="J82" i="2"/>
  <c r="H82" i="2"/>
  <c r="L78" i="2"/>
  <c r="J78" i="2"/>
  <c r="H78" i="2"/>
  <c r="H74" i="2"/>
  <c r="L74" i="2" s="1"/>
  <c r="H70" i="2"/>
  <c r="L70" i="2" s="1"/>
  <c r="L66" i="2"/>
  <c r="J66" i="2"/>
  <c r="H66" i="2"/>
  <c r="L62" i="2"/>
  <c r="J62" i="2"/>
  <c r="H62" i="2"/>
  <c r="H58" i="2"/>
  <c r="J58" i="2" s="1"/>
  <c r="H54" i="2"/>
  <c r="L54" i="2" s="1"/>
  <c r="L50" i="2"/>
  <c r="J50" i="2"/>
  <c r="H50" i="2"/>
  <c r="L46" i="2"/>
  <c r="J46" i="2"/>
  <c r="H46" i="2"/>
  <c r="L40" i="2"/>
  <c r="J40" i="2"/>
  <c r="H40" i="2"/>
  <c r="H36" i="2"/>
  <c r="L36" i="2" s="1"/>
  <c r="H32" i="2"/>
  <c r="L32" i="2" s="1"/>
  <c r="L28" i="2"/>
  <c r="J28" i="2"/>
  <c r="H28" i="2"/>
  <c r="L24" i="2"/>
  <c r="J24" i="2"/>
  <c r="H24" i="2"/>
  <c r="L18" i="2"/>
  <c r="J18" i="2"/>
  <c r="H18" i="2"/>
  <c r="H14" i="2"/>
  <c r="J14" i="2" s="1"/>
  <c r="K9" i="2"/>
  <c r="F5" i="2"/>
  <c r="F4" i="2"/>
  <c r="L44" i="2" l="1"/>
  <c r="L218" i="2"/>
  <c r="L264" i="2"/>
  <c r="J36" i="2"/>
  <c r="J74" i="2"/>
  <c r="J118" i="2"/>
  <c r="J124" i="2"/>
  <c r="J162" i="2"/>
  <c r="J206" i="2"/>
  <c r="J228" i="2"/>
  <c r="J260" i="2"/>
  <c r="L14" i="2"/>
  <c r="L22" i="2" s="1"/>
  <c r="J32" i="2"/>
  <c r="J54" i="2"/>
  <c r="L58" i="2"/>
  <c r="L86" i="2" s="1"/>
  <c r="J70" i="2"/>
  <c r="J98" i="2"/>
  <c r="L102" i="2"/>
  <c r="L122" i="2" s="1"/>
  <c r="J114" i="2"/>
  <c r="J136" i="2"/>
  <c r="L140" i="2"/>
  <c r="L152" i="2" s="1"/>
  <c r="J158" i="2"/>
  <c r="J174" i="2"/>
  <c r="L178" i="2"/>
  <c r="L190" i="2" s="1"/>
  <c r="J196" i="2"/>
  <c r="J202" i="2"/>
  <c r="J224" i="2"/>
  <c r="J240" i="2"/>
  <c r="L244" i="2"/>
  <c r="J256" i="2"/>
  <c r="K2"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8F5BE378-3A38-4D53-B3DF-8ED83B8A48F4}">
      <text>
        <r>
          <rPr>
            <b/>
            <u/>
            <sz val="10"/>
            <color indexed="81"/>
            <rFont val="Calibri"/>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charset val="238"/>
          </rPr>
          <t xml:space="preserve">
</t>
        </r>
      </text>
    </comment>
    <comment ref="K4" authorId="0" shapeId="0" xr:uid="{3536C228-A41E-4B7C-BE12-14186D904510}">
      <text>
        <r>
          <rPr>
            <b/>
            <u/>
            <sz val="11"/>
            <color indexed="81"/>
            <rFont val="Arial"/>
            <charset val="238"/>
          </rPr>
          <t>1. až 3. místo obor:</t>
        </r>
        <r>
          <rPr>
            <b/>
            <u/>
            <sz val="9"/>
            <color indexed="81"/>
            <rFont val="Arial"/>
            <charset val="238"/>
          </rPr>
          <t xml:space="preserve">
</t>
        </r>
        <r>
          <rPr>
            <b/>
            <sz val="9"/>
            <color indexed="81"/>
            <rFont val="Arial"/>
            <charset val="238"/>
          </rPr>
          <t xml:space="preserve">obory stavebních objektů:
</t>
        </r>
        <r>
          <rPr>
            <b/>
            <i/>
            <sz val="9"/>
            <color indexed="81"/>
            <rFont val="Arial"/>
            <charset val="238"/>
          </rPr>
          <t>801</t>
        </r>
        <r>
          <rPr>
            <i/>
            <sz val="9"/>
            <color indexed="81"/>
            <rFont val="Arial"/>
            <charset val="238"/>
          </rPr>
          <t xml:space="preserve"> Budovy občanské výstavby
</t>
        </r>
        <r>
          <rPr>
            <b/>
            <i/>
            <sz val="9"/>
            <color indexed="81"/>
            <rFont val="Arial"/>
            <charset val="238"/>
          </rPr>
          <t>802</t>
        </r>
        <r>
          <rPr>
            <i/>
            <sz val="9"/>
            <color indexed="81"/>
            <rFont val="Arial"/>
            <charset val="238"/>
          </rPr>
          <t xml:space="preserve"> Haly občanské výstavby
</t>
        </r>
        <r>
          <rPr>
            <b/>
            <i/>
            <sz val="9"/>
            <color indexed="81"/>
            <rFont val="Arial"/>
            <charset val="238"/>
          </rPr>
          <t>803</t>
        </r>
        <r>
          <rPr>
            <i/>
            <sz val="9"/>
            <color indexed="81"/>
            <rFont val="Arial"/>
            <charset val="238"/>
          </rPr>
          <t xml:space="preserve"> Budovy pro bydlení
</t>
        </r>
        <r>
          <rPr>
            <b/>
            <i/>
            <sz val="9"/>
            <color indexed="81"/>
            <rFont val="Arial"/>
            <charset val="238"/>
          </rPr>
          <t>811</t>
        </r>
        <r>
          <rPr>
            <i/>
            <sz val="9"/>
            <color indexed="81"/>
            <rFont val="Arial"/>
            <charset val="238"/>
          </rPr>
          <t xml:space="preserve"> Haly pro výrobu a služby
</t>
        </r>
        <r>
          <rPr>
            <b/>
            <i/>
            <sz val="9"/>
            <color indexed="81"/>
            <rFont val="Arial"/>
            <charset val="238"/>
          </rPr>
          <t>812</t>
        </r>
        <r>
          <rPr>
            <i/>
            <sz val="9"/>
            <color indexed="81"/>
            <rFont val="Arial"/>
            <charset val="238"/>
          </rPr>
          <t xml:space="preserve"> Budovy pro výrobu a služby
</t>
        </r>
        <r>
          <rPr>
            <b/>
            <i/>
            <sz val="9"/>
            <color indexed="81"/>
            <rFont val="Arial"/>
            <charset val="238"/>
          </rPr>
          <t>813</t>
        </r>
        <r>
          <rPr>
            <i/>
            <sz val="9"/>
            <color indexed="81"/>
            <rFont val="Arial"/>
            <charset val="238"/>
          </rPr>
          <t xml:space="preserve"> Věže, stožáry a komíny
</t>
        </r>
        <r>
          <rPr>
            <b/>
            <i/>
            <sz val="9"/>
            <color indexed="81"/>
            <rFont val="Arial"/>
            <charset val="238"/>
          </rPr>
          <t>814</t>
        </r>
        <r>
          <rPr>
            <i/>
            <sz val="9"/>
            <color indexed="81"/>
            <rFont val="Arial"/>
            <charset val="238"/>
          </rPr>
          <t xml:space="preserve"> Nádrže a jímky čistíren vod a ostatní pozemní nádrže,  
        jímky zásobníky a jámy
</t>
        </r>
        <r>
          <rPr>
            <b/>
            <i/>
            <sz val="9"/>
            <color indexed="81"/>
            <rFont val="Arial"/>
            <charset val="238"/>
          </rPr>
          <t>815</t>
        </r>
        <r>
          <rPr>
            <i/>
            <sz val="9"/>
            <color indexed="81"/>
            <rFont val="Arial"/>
            <charset val="238"/>
          </rPr>
          <t xml:space="preserve"> Objekty pozemní zvláštní
</t>
        </r>
        <r>
          <rPr>
            <b/>
            <i/>
            <sz val="9"/>
            <color indexed="81"/>
            <rFont val="Arial"/>
            <charset val="238"/>
          </rPr>
          <t>817</t>
        </r>
        <r>
          <rPr>
            <i/>
            <sz val="9"/>
            <color indexed="81"/>
            <rFont val="Arial"/>
            <charset val="238"/>
          </rPr>
          <t xml:space="preserve"> Objekty jaderných zařízení
</t>
        </r>
        <r>
          <rPr>
            <b/>
            <i/>
            <sz val="9"/>
            <color indexed="81"/>
            <rFont val="Arial"/>
            <charset val="238"/>
          </rPr>
          <t>821</t>
        </r>
        <r>
          <rPr>
            <i/>
            <sz val="9"/>
            <color indexed="81"/>
            <rFont val="Arial"/>
            <charset val="238"/>
          </rPr>
          <t xml:space="preserve"> Mosty
</t>
        </r>
        <r>
          <rPr>
            <b/>
            <i/>
            <sz val="9"/>
            <color indexed="81"/>
            <rFont val="Arial"/>
            <charset val="238"/>
          </rPr>
          <t>822</t>
        </r>
        <r>
          <rPr>
            <i/>
            <sz val="9"/>
            <color indexed="81"/>
            <rFont val="Arial"/>
            <charset val="238"/>
          </rPr>
          <t xml:space="preserve"> Komunikace pozemní a letiště
</t>
        </r>
        <r>
          <rPr>
            <b/>
            <i/>
            <sz val="9"/>
            <color indexed="81"/>
            <rFont val="Arial"/>
            <charset val="238"/>
          </rPr>
          <t>823</t>
        </r>
        <r>
          <rPr>
            <i/>
            <sz val="9"/>
            <color indexed="81"/>
            <rFont val="Arial"/>
            <charset val="238"/>
          </rPr>
          <t xml:space="preserve"> Plochy a úpravy území
</t>
        </r>
        <r>
          <rPr>
            <b/>
            <i/>
            <sz val="9"/>
            <color indexed="81"/>
            <rFont val="Arial"/>
            <charset val="238"/>
          </rPr>
          <t>824</t>
        </r>
        <r>
          <rPr>
            <i/>
            <sz val="9"/>
            <color indexed="81"/>
            <rFont val="Arial"/>
            <charset val="238"/>
          </rPr>
          <t xml:space="preserve"> Dráhy kolejové
</t>
        </r>
        <r>
          <rPr>
            <b/>
            <i/>
            <sz val="9"/>
            <color indexed="81"/>
            <rFont val="Arial"/>
            <charset val="238"/>
          </rPr>
          <t>825</t>
        </r>
        <r>
          <rPr>
            <i/>
            <sz val="9"/>
            <color indexed="81"/>
            <rFont val="Arial"/>
            <charset val="238"/>
          </rPr>
          <t xml:space="preserve"> Objekty podzemní (mimo důlní)
</t>
        </r>
        <r>
          <rPr>
            <b/>
            <i/>
            <sz val="9"/>
            <color indexed="81"/>
            <rFont val="Arial"/>
            <charset val="238"/>
          </rPr>
          <t>826</t>
        </r>
        <r>
          <rPr>
            <i/>
            <sz val="9"/>
            <color indexed="81"/>
            <rFont val="Arial"/>
            <charset val="238"/>
          </rPr>
          <t xml:space="preserve"> Objekty podzemní důlní
</t>
        </r>
        <r>
          <rPr>
            <b/>
            <i/>
            <sz val="9"/>
            <color indexed="81"/>
            <rFont val="Arial"/>
            <charset val="238"/>
          </rPr>
          <t>827</t>
        </r>
        <r>
          <rPr>
            <i/>
            <sz val="9"/>
            <color indexed="81"/>
            <rFont val="Arial"/>
            <charset val="238"/>
          </rPr>
          <t xml:space="preserve"> Vedení trubní dálková a přípojná
</t>
        </r>
        <r>
          <rPr>
            <b/>
            <i/>
            <sz val="9"/>
            <color indexed="81"/>
            <rFont val="Arial"/>
            <charset val="238"/>
          </rPr>
          <t>828</t>
        </r>
        <r>
          <rPr>
            <i/>
            <sz val="9"/>
            <color indexed="81"/>
            <rFont val="Arial"/>
            <charset val="238"/>
          </rPr>
          <t xml:space="preserve"> Vedení elektrická a dráhy visuté
</t>
        </r>
        <r>
          <rPr>
            <b/>
            <i/>
            <sz val="9"/>
            <color indexed="81"/>
            <rFont val="Arial"/>
            <charset val="238"/>
          </rPr>
          <t>831</t>
        </r>
        <r>
          <rPr>
            <i/>
            <sz val="9"/>
            <color indexed="81"/>
            <rFont val="Arial"/>
            <charset val="238"/>
          </rPr>
          <t xml:space="preserve"> Hydromeliorace
</t>
        </r>
        <r>
          <rPr>
            <b/>
            <i/>
            <sz val="9"/>
            <color indexed="81"/>
            <rFont val="Arial"/>
            <charset val="238"/>
          </rPr>
          <t>832</t>
        </r>
        <r>
          <rPr>
            <i/>
            <sz val="9"/>
            <color indexed="81"/>
            <rFont val="Arial"/>
            <charset val="238"/>
          </rPr>
          <t xml:space="preserve"> Hráze a objekty na tocích
</t>
        </r>
        <r>
          <rPr>
            <b/>
            <i/>
            <sz val="9"/>
            <color indexed="81"/>
            <rFont val="Arial"/>
            <charset val="238"/>
          </rPr>
          <t>833</t>
        </r>
        <r>
          <rPr>
            <i/>
            <sz val="9"/>
            <color indexed="81"/>
            <rFont val="Arial"/>
            <charset val="238"/>
          </rPr>
          <t xml:space="preserve"> Nádrže na tocích, úpravy toků a kanály
</t>
        </r>
        <r>
          <rPr>
            <b/>
            <sz val="9"/>
            <color indexed="81"/>
            <rFont val="Arial"/>
            <charset val="238"/>
          </rPr>
          <t xml:space="preserve">
obory stavebních prací výrobní povahy:
</t>
        </r>
        <r>
          <rPr>
            <b/>
            <i/>
            <sz val="9"/>
            <color indexed="81"/>
            <rFont val="Arial"/>
            <charset val="238"/>
          </rPr>
          <t>838</t>
        </r>
        <r>
          <rPr>
            <i/>
            <sz val="9"/>
            <color indexed="81"/>
            <rFont val="Arial"/>
            <charset val="238"/>
          </rPr>
          <t xml:space="preserve"> Práce stavební při budování technologických zařizení
</t>
        </r>
        <r>
          <rPr>
            <b/>
            <i/>
            <sz val="9"/>
            <color indexed="81"/>
            <rFont val="Arial"/>
            <charset val="238"/>
          </rPr>
          <t>839</t>
        </r>
        <r>
          <rPr>
            <i/>
            <sz val="9"/>
            <color indexed="81"/>
            <rFont val="Arial"/>
            <charset val="238"/>
          </rPr>
          <t xml:space="preserve"> Práce výrobní povahy ve stavebnictví</t>
        </r>
      </text>
    </comment>
    <comment ref="L4" authorId="0" shapeId="0" xr:uid="{901B513A-826B-485C-B676-455423A110C7}">
      <text>
        <r>
          <rPr>
            <b/>
            <u/>
            <sz val="10"/>
            <color indexed="81"/>
            <rFont val="Arial"/>
            <charset val="238"/>
          </rPr>
          <t>povinné:</t>
        </r>
        <r>
          <rPr>
            <b/>
            <sz val="9"/>
            <color indexed="81"/>
            <rFont val="Arial"/>
            <charset val="238"/>
          </rPr>
          <t xml:space="preserve">
</t>
        </r>
        <r>
          <rPr>
            <b/>
            <i/>
            <sz val="9"/>
            <color indexed="81"/>
            <rFont val="Arial"/>
            <charset val="238"/>
          </rPr>
          <t>4. místo skupina</t>
        </r>
        <r>
          <rPr>
            <b/>
            <sz val="9"/>
            <color indexed="81"/>
            <rFont val="Arial"/>
            <charset val="238"/>
          </rPr>
          <t xml:space="preserve">
</t>
        </r>
        <r>
          <rPr>
            <b/>
            <u/>
            <sz val="10"/>
            <color indexed="81"/>
            <rFont val="Arial"/>
            <charset val="238"/>
          </rPr>
          <t>volitelné v případě, že lze zařadit:</t>
        </r>
        <r>
          <rPr>
            <b/>
            <sz val="9"/>
            <color indexed="81"/>
            <rFont val="Arial"/>
            <charset val="238"/>
          </rPr>
          <t xml:space="preserve">
</t>
        </r>
        <r>
          <rPr>
            <i/>
            <sz val="9"/>
            <color indexed="81"/>
            <rFont val="Arial"/>
            <charset val="238"/>
          </rPr>
          <t>5. místo podskupina
6. místo konstrukčně materiálová charakteristika
7. místo druh stavební akce</t>
        </r>
      </text>
    </comment>
    <comment ref="E5" authorId="0" shapeId="0" xr:uid="{C4F61A66-0FE9-489F-9D74-66DD0750E122}">
      <text>
        <r>
          <rPr>
            <b/>
            <u/>
            <sz val="10"/>
            <color indexed="81"/>
            <rFont val="Calibri"/>
            <charset val="238"/>
          </rPr>
          <t>Vybrat stádium dle seznamu:</t>
        </r>
        <r>
          <rPr>
            <sz val="9"/>
            <color indexed="81"/>
            <rFont val="Calibri"/>
            <charset val="238"/>
          </rPr>
          <t xml:space="preserve">
</t>
        </r>
        <r>
          <rPr>
            <i/>
            <sz val="9"/>
            <color indexed="81"/>
            <rFont val="Calibri"/>
            <charset val="238"/>
          </rPr>
          <t xml:space="preserve">Nejčastěji se zpracovává rozpočet ve </t>
        </r>
        <r>
          <rPr>
            <b/>
            <i/>
            <sz val="9"/>
            <color indexed="81"/>
            <rFont val="Calibri"/>
            <charset val="238"/>
          </rPr>
          <t>Stádiu 3</t>
        </r>
        <r>
          <rPr>
            <i/>
            <sz val="9"/>
            <color indexed="81"/>
            <rFont val="Calibri"/>
            <charset val="238"/>
          </rPr>
          <t xml:space="preserve"> jako rozpočet jednotlivých SO a PS v rozsahu oceněných soupisů prací dle požadavků vyhlášky č. 169/2016 Sb. 
</t>
        </r>
        <r>
          <rPr>
            <sz val="9"/>
            <color indexed="81"/>
            <rFont val="Calibri"/>
            <charset val="238"/>
          </rPr>
          <t xml:space="preserve">V případě, </t>
        </r>
        <r>
          <rPr>
            <i/>
            <sz val="9"/>
            <color indexed="81"/>
            <rFont val="Calibri"/>
            <charset val="238"/>
          </rPr>
          <t xml:space="preserve">že je podkladem pro výběr zhotovitele na realizaci díla dokumentace ve </t>
        </r>
        <r>
          <rPr>
            <b/>
            <i/>
            <sz val="9"/>
            <color indexed="81"/>
            <rFont val="Calibri"/>
            <charset val="238"/>
          </rPr>
          <t>Stádiu 2</t>
        </r>
        <r>
          <rPr>
            <i/>
            <sz val="9"/>
            <color indexed="81"/>
            <rFont val="Calibri"/>
            <charset val="238"/>
          </rPr>
          <t xml:space="preserve"> - DUR (tj. v případě staveb kdy projektovou dokumentaci ve stádiu 3 zpracovává zhotovitel stavby), jsou rozpočty jednotlivých SO a PS zpracované ve </t>
        </r>
        <r>
          <rPr>
            <i/>
            <u/>
            <sz val="9"/>
            <color indexed="81"/>
            <rFont val="Calibri"/>
            <charset val="238"/>
          </rPr>
          <t>Formulářích SOPS stádia 3</t>
        </r>
        <r>
          <rPr>
            <i/>
            <sz val="9"/>
            <color indexed="81"/>
            <rFont val="Calibri"/>
            <charset val="238"/>
          </rPr>
          <t xml:space="preserve"> jako podklad pro sestavení souhrnného rozpočtu a určení předpokládané hodnoty zakázky pro další stádia.  V Řádku se uveden, že se jedná o </t>
        </r>
        <r>
          <rPr>
            <b/>
            <i/>
            <sz val="9"/>
            <color indexed="81"/>
            <rFont val="Calibri"/>
            <charset val="238"/>
          </rPr>
          <t>Stádium 2</t>
        </r>
        <r>
          <rPr>
            <i/>
            <sz val="9"/>
            <color indexed="81"/>
            <rFont val="Calibri"/>
            <charset val="238"/>
          </rPr>
          <t>.</t>
        </r>
        <r>
          <rPr>
            <sz val="9"/>
            <color indexed="81"/>
            <rFont val="Calibri"/>
            <charset val="238"/>
          </rPr>
          <t xml:space="preserve">
</t>
        </r>
      </text>
    </comment>
    <comment ref="F14" authorId="0" shapeId="0" xr:uid="{1767037C-5CC9-46F3-8F0D-EA135BD64B9E}">
      <text>
        <r>
          <rPr>
            <b/>
            <i/>
            <u/>
            <sz val="10"/>
            <color indexed="81"/>
            <rFont val="Arial"/>
            <charset val="238"/>
          </rPr>
          <t>Přesný název položky</t>
        </r>
        <r>
          <rPr>
            <i/>
            <sz val="10"/>
            <color indexed="81"/>
            <rFont val="Arial"/>
            <charset val="238"/>
          </rPr>
          <t xml:space="preserve"> dle cenové soustavy, nebo vlastní název v případě položky mimo cenovou soustavu.</t>
        </r>
        <r>
          <rPr>
            <sz val="10"/>
            <color indexed="81"/>
            <rFont val="Arial"/>
            <charset val="238"/>
          </rPr>
          <t xml:space="preserve">
</t>
        </r>
      </text>
    </comment>
    <comment ref="F15" authorId="0" shapeId="0" xr:uid="{6BE0955B-ED49-494F-9488-AF34E2A3AB4C}">
      <text>
        <r>
          <rPr>
            <i/>
            <sz val="10"/>
            <color indexed="81"/>
            <rFont val="Arial"/>
            <charset val="238"/>
          </rPr>
          <t>Doplnění názvu položky upřesňující popis dané položky</t>
        </r>
        <r>
          <rPr>
            <b/>
            <i/>
            <sz val="10"/>
            <color indexed="81"/>
            <rFont val="Arial"/>
            <charset val="238"/>
          </rPr>
          <t>.
V případě, že název položky odpovídá popisu položky, pole zůstane bez vyplnění.</t>
        </r>
        <r>
          <rPr>
            <sz val="9"/>
            <color indexed="81"/>
            <rFont val="Tahoma"/>
            <charset val="238"/>
          </rPr>
          <t xml:space="preserve">
</t>
        </r>
      </text>
    </comment>
    <comment ref="F16" authorId="0" shapeId="0" xr:uid="{769DCF27-DBFB-4BB5-A31B-DFBD4DF0BBA4}">
      <text>
        <r>
          <rPr>
            <i/>
            <sz val="10"/>
            <color indexed="81"/>
            <rFont val="Arial"/>
            <charset val="238"/>
          </rPr>
          <t>Způsob stanovení množství položky, nebo odkaz na příslušnou přílohu dokumentace.</t>
        </r>
        <r>
          <rPr>
            <sz val="9"/>
            <color indexed="81"/>
            <rFont val="Tahoma"/>
            <charset val="238"/>
          </rPr>
          <t xml:space="preserve">
</t>
        </r>
      </text>
    </comment>
    <comment ref="F17" authorId="0" shapeId="0" xr:uid="{A204DCB5-CAC9-42F4-9851-E0514F8BE875}">
      <text>
        <r>
          <rPr>
            <b/>
            <i/>
            <u/>
            <sz val="10"/>
            <color indexed="81"/>
            <rFont val="Arial"/>
            <charset val="238"/>
          </rPr>
          <t>Technická specifikace položky :</t>
        </r>
        <r>
          <rPr>
            <i/>
            <sz val="10"/>
            <color indexed="81"/>
            <rFont val="Arial"/>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charset val="238"/>
          </rPr>
          <t xml:space="preserve"> "Technická specifikace položky odpovídá příslušné cenové soustavě."</t>
        </r>
        <r>
          <rPr>
            <sz val="9"/>
            <color indexed="81"/>
            <rFont val="Tahoma"/>
            <charset val="23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12A7F0E1-6387-460A-9F6B-33EBA3119A62}">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39EA7A8C-F5DD-435A-8000-EE2D8B03E204}">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7B9F371A-8907-4C41-81E6-6C6A69B9D519}">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D8C56816-20EE-4068-B477-2496B3FF9FAC}">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AC0C8774-FBFD-4BA3-AD0C-C01FF53F862B}">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12780696-35C8-4722-A9B2-546C7D850371}">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E83EBB05-B5AE-48F2-A82E-88E6D03635A6}">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B509CD76-03F2-4F3C-A6AE-B5C4283C9BEF}">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7A48A324-591E-4B30-82B4-306E37C2F844}">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2DC2E602-0C78-4C7E-B5BB-0127D41E4F0A}">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5C090B62-A49C-416E-9F80-82BD74B104D3}">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AB36C094-841C-4ED7-B20F-F201BED9EBF5}">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C115D997-98C6-419B-AFAB-577072BD59FF}">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35015A8-08D2-477B-8F1D-7B8570636657}">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2516DF0D-3F29-42D6-9F6F-BE4FDB07821C}">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4CFD1949-6376-45D0-80CB-AF0A6C47A135}">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E40B2171-66BB-4907-980A-73AF81C76089}">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99ADE4FB-73E2-4B08-9916-5875B489053A}">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A364A36-9783-4ABB-9040-23AAD9F0522B}">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BA61EDB7-F335-40BE-9622-37BC0D6ED517}">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8EAED4A4-32CE-4426-A1CD-19A23746A191}">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38F5BA42-0D49-4AE9-95D7-731E0D430859}">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E2F3AF9E-7B19-4A67-BD15-12164275CC4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C0670E26-1E5B-471D-B689-45BF03E6C88A}">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B19CEDF6-5D4E-4C6B-8AA9-5D0F2741CE78}">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76CCDA70-44E7-46C2-9F56-CDD2538C2E28}">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1666612F-DED8-4D8A-A09D-5C65F4F51D7B}">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4DB11144-3EAC-4656-A808-B56CDED15EE3}">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314457AE-8084-40E4-A011-F622BE2A7F0E}">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FA174BAC-1DDE-4EA1-95CE-53F53AF6459A}">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230C41D8-B4E0-4A2C-95D6-F0AE701BCEA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C932CB4D-8490-474D-9130-307246A350D4}">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54D559A3-4AE7-4329-91DC-77CB3C110945}">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07EBD31C-F930-4B81-BCF2-6ACD2000BDFE}">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587DBB32-D79E-4B2C-842E-E59FA98098E9}">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C1364C7D-E6BE-470A-8E30-316F70F48574}">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52F47CF6-307C-464B-9E83-DA1105685F6A}">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A658B434-3C85-423A-A266-5730F2629A8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D0ED9F00-E164-44A9-A1D3-DFBB0DA7F5B2}">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A5BA9D07-08B2-4322-9FBC-35EB7BD13254}">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FF166541-789A-4272-B155-62A7D954CA23}">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E402DBE4-541B-4548-A65C-FACCB02207E8}">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B5AB524-9EBD-4DBA-9076-9BC8890BA396}">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F16757D7-04AB-4E35-97AD-DCDAF1D85D58}">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848DA9E2-CDC3-46C3-912C-8ADCA6EAA458}">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3C348C1F-3F86-41EE-9A72-3A234DAB96E4}">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E127439B-25E4-409D-B01A-7A4BA0745DA4}">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FE866299-849F-40ED-9924-9B0F8FB7591A}">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5AA09A48-6084-425E-BF82-DAD4C26DA3CD}">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EF39977C-021E-4F1E-9483-43CD2F2B40C6}">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FA8DD17B-7FCB-4010-9278-572B94E85DE6}">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EAADC150-4516-4F2B-989E-265FB289EA94}">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7B32FE0B-C8B3-4D49-8DF9-3EA0143CFBA6}">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8535EB40-532D-4659-A618-C58170831A24}">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96D959AA-AF20-4793-A052-406DC9B7E3E2}">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CDAE1B71-184B-4BD1-A0C2-F625A903E39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5F5C4AFA-AF88-4BD0-A202-25CD2AA42D27}">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61D53A53-6D66-4F65-9A48-369D2B444972}">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EF48D9EF-FBF6-4631-AD4B-74CAB69BF30E}">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4539B9C-EAC2-4126-9DEA-B2F04A5A34E7}">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0ADE922C-65A0-46C3-988B-3D40F4BF44BB}">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BC9292EA-EB64-4099-82B0-6111F6BF40FF}">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407B3374-7EDD-4DCA-88ED-7E5A89643493}">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75D3B164-DA98-44E4-80FF-55B39B4FEAF6}">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03C9A15E-45F6-4FE8-92CD-7EAB6A8EFD88}">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7E4322F9-6BF4-42CD-94A8-4C86D7E27594}">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295F0DF7-C214-41B9-B1B1-FD3064C39C02}">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30E67AFF-C403-44DA-9B14-E07A2885CCBD}">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xr:uid="{597B1EA1-997A-481B-92B3-89C6D2D8C7F9}">
      <text>
        <r>
          <rPr>
            <b/>
            <i/>
            <u/>
            <sz val="10"/>
            <color indexed="81"/>
            <rFont val="Arial"/>
            <family val="2"/>
            <charset val="238"/>
          </rPr>
          <t>Povinná položka</t>
        </r>
        <r>
          <rPr>
            <sz val="10"/>
            <color indexed="81"/>
            <rFont val="Arial"/>
            <family val="2"/>
            <charset val="238"/>
          </rPr>
          <t xml:space="preserve">
</t>
        </r>
      </text>
    </comment>
    <comment ref="F15" authorId="0" shapeId="0" xr:uid="{E2C5FC30-EC5F-45FE-919E-229AD9097201}">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94336422-CB4E-43D6-8ADF-8115D1F3EBD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F5AC15C2-26A4-4F88-88CC-1FB8F8A0306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505BB6AE-8735-4C7A-8AB2-D72EFDAC06CF}">
      <text>
        <r>
          <rPr>
            <b/>
            <i/>
            <u/>
            <sz val="10"/>
            <color indexed="81"/>
            <rFont val="Arial"/>
            <family val="2"/>
            <charset val="238"/>
          </rPr>
          <t>Povinná položka</t>
        </r>
        <r>
          <rPr>
            <sz val="10"/>
            <color indexed="81"/>
            <rFont val="Arial"/>
            <family val="2"/>
            <charset val="238"/>
          </rPr>
          <t xml:space="preserve">
</t>
        </r>
      </text>
    </comment>
    <comment ref="F20" authorId="0" shapeId="0" xr:uid="{5E5ED713-1FF7-445A-BD56-380DA13B747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56A8FDE5-BFD8-4B16-8201-016A993CEBFC}">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435CA963-399F-445E-915E-E8BDDF342663}">
      <text>
        <r>
          <rPr>
            <b/>
            <i/>
            <u/>
            <sz val="10"/>
            <color indexed="81"/>
            <rFont val="Arial"/>
            <family val="2"/>
            <charset val="238"/>
          </rPr>
          <t>Povinná položka</t>
        </r>
        <r>
          <rPr>
            <sz val="10"/>
            <color indexed="81"/>
            <rFont val="Arial"/>
            <family val="2"/>
            <charset val="238"/>
          </rPr>
          <t xml:space="preserve">
</t>
        </r>
      </text>
    </comment>
    <comment ref="F24" authorId="0" shapeId="0" xr:uid="{A717E411-2B45-42E9-A715-A7984BEE1DE4}">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954A35D3-329F-4347-8536-0474F58523C1}">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6" authorId="0" shapeId="0" xr:uid="{1A76BB6E-A6D1-4E0B-911A-8662E867A0C9}">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7" authorId="0" shapeId="0" xr:uid="{DD3AD0BD-F3AA-4C97-B314-7C8E117F6A73}">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8" authorId="0" shapeId="0" xr:uid="{65D16C43-47AA-4878-B72B-CFAD8AF64F3C}">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xr:uid="{9418574C-F0D0-4060-8E53-92153CE8E6B6}">
      <text>
        <r>
          <rPr>
            <b/>
            <i/>
            <u/>
            <sz val="10"/>
            <color indexed="81"/>
            <rFont val="Arial"/>
            <family val="2"/>
            <charset val="238"/>
          </rPr>
          <t>Technická specifikace položky :</t>
        </r>
        <r>
          <rPr>
            <i/>
            <sz val="10"/>
            <color indexed="81"/>
            <rFont val="Arial"/>
            <family val="2"/>
            <charset val="238"/>
          </rPr>
          <t xml:space="preserve">
Bude doplněno o SO a PS u kterých se zpracovává PDPS (jedná se zejména o technologické části dokumentace, které nelze zpracovat bez dodržení zásad transparentnosti, přiměřenosti a rovného zacházení, tj. se jedná o dokumentaci, kterou zajišťuje zhotovitel stavebních prací v rozsahu nezbytném pro určení technických parametrů použitých materiálů, konkrétních výrobků, nebo dodavatele technologického zařízení, které nebylo možné určit před výběrovým řízením na zhotovení stavby.)</t>
        </r>
      </text>
    </comment>
    <comment ref="F32" authorId="0" shapeId="0" xr:uid="{E0E461D5-5B80-43EA-A448-BCBE483D3028}">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D1CA7183-6335-4B49-99A1-523A93A58C87}">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BDA0FE57-97FD-46E6-B3E6-35649A578FC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F24F1788-F906-4660-9796-6DB2F2966846}">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6" authorId="0" shapeId="0" xr:uid="{08101A0C-AD8E-4E33-96CC-90203E540FDE}">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7" authorId="0" shapeId="0" xr:uid="{4784DD60-77E5-47CA-B061-C1225A6E6D1E}">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8" authorId="0" shapeId="0" xr:uid="{C6278C6F-9237-410E-A111-B32A5A1D1F9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9" authorId="0" shapeId="0" xr:uid="{E828D954-7F6A-40D2-873F-3BE9E4CEC50D}">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44" authorId="0" shapeId="0" xr:uid="{610251B5-EF2F-4A6E-8DAD-BFE2BF66AC4B}">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45" authorId="0" shapeId="0" xr:uid="{E8628E9F-402A-4A11-B04B-496CFD50EFA5}">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46" authorId="0" shapeId="0" xr:uid="{FE1463A0-F3F6-4E18-9887-DFC7CEA3DE52}">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7" authorId="0" shapeId="0" xr:uid="{A55C892C-38AF-4FC7-B090-251A49E1D7E4}">
      <text>
        <r>
          <rPr>
            <b/>
            <i/>
            <u/>
            <sz val="10"/>
            <color indexed="81"/>
            <rFont val="Arial"/>
            <family val="2"/>
            <charset val="238"/>
          </rPr>
          <t xml:space="preserve">Technická specifikace položky :
</t>
        </r>
        <r>
          <rPr>
            <i/>
            <sz val="10"/>
            <color indexed="81"/>
            <rFont val="Arial"/>
            <family val="2"/>
            <charset val="238"/>
          </rPr>
          <t>základní text bude doplněn o odkaz na vyjádření dotčených orgánů a osob, vznesených v průběhu stavebního řízení a dle potřeby upřesněn s ohledem na požadavky zohledňující specifický charakter stavby.</t>
        </r>
        <r>
          <rPr>
            <sz val="9"/>
            <color indexed="81"/>
            <rFont val="Tahoma"/>
            <family val="2"/>
            <charset val="238"/>
          </rPr>
          <t xml:space="preserve">
</t>
        </r>
      </text>
    </comment>
    <comment ref="F48" authorId="0" shapeId="0" xr:uid="{E0C4095E-384C-4F55-830B-7F7A91B522BB}">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49" authorId="0" shapeId="0" xr:uid="{47221F6F-4B1E-4FE8-A4F9-BD0F47FBD6C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50" authorId="0" shapeId="0" xr:uid="{11E91443-A502-4D64-AB83-82442FE2C05F}">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1" authorId="0" shapeId="0" xr:uid="{2CAED3A2-11D7-4966-BB83-A83D8D3C8705}">
      <text>
        <r>
          <rPr>
            <b/>
            <i/>
            <u/>
            <sz val="10"/>
            <color indexed="81"/>
            <rFont val="Arial"/>
            <family val="2"/>
            <charset val="238"/>
          </rPr>
          <t>Technická specifikace položky :</t>
        </r>
        <r>
          <rPr>
            <i/>
            <sz val="10"/>
            <color indexed="81"/>
            <rFont val="Arial"/>
            <family val="2"/>
            <charset val="238"/>
          </rPr>
          <t xml:space="preserve">
musí zahrnovat přesnou specifikaci danné činnosti . Jedná se o zajištění veřejných zájmů vztahující se k realizaci stavby, které vzešly z požadavků dotčených orgánů a osob, vznesených v průběhu stavebního řízení na základě § 38 zákona č. 13/1997 Sb., tj. o náklady na zajištění potřebné úpravy stávajících pozemních komunikací dotčených stavbou. 
Specifikace musí zahrnovat přesný popis i odkaz na dokladovou část, se vznesenými požadavky.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2" authorId="0" shapeId="0" xr:uid="{2ECC0AF4-6E1D-470A-A29D-AD0C4C14555E}">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53" authorId="0" shapeId="0" xr:uid="{E264E9CC-C62D-4795-931C-10A3BFBFA02F}">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54" authorId="0" shapeId="0" xr:uid="{046465E6-4271-4B15-87A9-53218698598C}">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shapeId="0" xr:uid="{A8328A0D-0192-472E-ACB4-6B1EA76169C7}">
      <text>
        <r>
          <rPr>
            <b/>
            <i/>
            <u/>
            <sz val="10"/>
            <color indexed="81"/>
            <rFont val="Arial"/>
            <family val="2"/>
            <charset val="238"/>
          </rPr>
          <t>Technická specifikace položky :</t>
        </r>
        <r>
          <rPr>
            <i/>
            <sz val="10"/>
            <color indexed="81"/>
            <rFont val="Arial"/>
            <family val="2"/>
            <charset val="238"/>
          </rPr>
          <t xml:space="preserve">
bude doplněna přesná specifikace požadavků na na provedení rekultivace určených pozemků přímo souvisejících s realizací stavby. Jedná se o činnosti mající charakter biologické rekultivace, avšak prováděné v průběhu realizace stavby, nebo bezprostředně po ukončení hlavní stavební činnosti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6" authorId="0" shapeId="0" xr:uid="{C08FD113-929A-4467-9D66-28495ACE99B3}">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57" authorId="0" shapeId="0" xr:uid="{7F992C7B-519F-4015-B696-1AD6FEB993C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58" authorId="0" shapeId="0" xr:uid="{D6DFA733-CA7C-495D-8D93-01ECBC1CB896}">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9" authorId="0" shapeId="0" xr:uid="{3FDFF203-143D-4CC3-95BB-A86184267D37}">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jsou s vlastníky projednány a doloženy nájemními smlouvami nebo smlouvami o smlouvách budoucích, případně nájemními smlouvami s odloženou účinností.
Smlouvy musí být vždy součástí dokladové části dokumentace stavby.</t>
        </r>
        <r>
          <rPr>
            <sz val="9"/>
            <color indexed="81"/>
            <rFont val="Tahoma"/>
            <family val="2"/>
            <charset val="238"/>
          </rPr>
          <t xml:space="preserve">
</t>
        </r>
      </text>
    </comment>
    <comment ref="F60" authorId="0" shapeId="0" xr:uid="{E86D5949-FA02-4085-A1F5-659DEBC4854F}">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61" authorId="0" shapeId="0" xr:uid="{6F1F528D-BFC6-4BBA-86F2-47B8C0FB725D}">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62" authorId="0" shapeId="0" xr:uid="{8E61ADB2-2235-4B86-9B3D-335BEE438097}">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3" authorId="0" shapeId="0" xr:uid="{8BF5A30D-F5CD-4E1F-AE01-AEB9CBB8AAF1}">
      <text>
        <r>
          <rPr>
            <b/>
            <i/>
            <u/>
            <sz val="10"/>
            <color indexed="81"/>
            <rFont val="Arial"/>
            <family val="2"/>
            <charset val="238"/>
          </rPr>
          <t>Technická specifikace položky :</t>
        </r>
        <r>
          <rPr>
            <i/>
            <sz val="10"/>
            <color indexed="81"/>
            <rFont val="Arial"/>
            <family val="2"/>
            <charset val="238"/>
          </rPr>
          <t xml:space="preserve">
položka zahrnuje náklady na činnost supervizora. Tyto náklady se uvádějí u staveb spolufinancovaných ze zdrojů EU v případě, že předpokládaná hodnota zakázky na realizaci stavby je větší než 2 miliardy Kč (v případě, že není stanoveno jinak). Výše nákladů se určí individuálně a musí zahrnovat dílčí část zařízení staveniště pro supervizi pracovníky SFDI, a to dle aktuálních pokynů ze strany SFDI.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4" authorId="0" shapeId="0" xr:uid="{29E1166C-D010-44C7-9C76-298961658E92}">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65" authorId="0" shapeId="0" xr:uid="{B69ED6D3-1C89-4504-8953-CF41BB018E8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66" authorId="0" shapeId="0" xr:uid="{A30F61BB-FC4F-403D-97DC-40D9300A16A6}">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7" authorId="0" shapeId="0" xr:uid="{6420B9B9-3772-492C-A23D-150F48931DF0}">
      <text>
        <r>
          <rPr>
            <b/>
            <i/>
            <u/>
            <sz val="10"/>
            <color indexed="81"/>
            <rFont val="Arial"/>
            <family val="2"/>
            <charset val="238"/>
          </rPr>
          <t xml:space="preserve">Technická specifikace položky :
</t>
        </r>
        <r>
          <rPr>
            <i/>
            <sz val="10"/>
            <color indexed="81"/>
            <rFont val="Arial"/>
            <family val="2"/>
            <charset val="238"/>
          </rPr>
          <t>musí zahrnovat požadavky na danou činnost, včetně odkazů na dokumentaci a  vyjádření dotčených orgánů a osob, vznesených v průběhu stavebního řízení.</t>
        </r>
        <r>
          <rPr>
            <i/>
            <sz val="9"/>
            <color indexed="81"/>
            <rFont val="Tahoma"/>
            <family val="2"/>
            <charset val="238"/>
          </rPr>
          <t xml:space="preserve">
</t>
        </r>
      </text>
    </comment>
    <comment ref="F68" authorId="0" shapeId="0" xr:uid="{C5637631-D163-4978-BAD4-1921C52E6D06}">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69" authorId="0" shapeId="0" xr:uid="{26480B6D-14C5-42C8-B1CB-6F66365E9D41}">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70" authorId="0" shapeId="0" xr:uid="{F23D98F7-58EB-4EF8-A0E2-5D03E4CC9605}">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1" authorId="0" shapeId="0" xr:uid="{72F92EFA-1E81-446E-9A17-28D117FF4C76}">
      <text>
        <r>
          <rPr>
            <b/>
            <i/>
            <u/>
            <sz val="10"/>
            <color indexed="81"/>
            <rFont val="Arial"/>
            <family val="2"/>
            <charset val="238"/>
          </rPr>
          <t xml:space="preserve">Technická specifikace položky :
</t>
        </r>
        <r>
          <rPr>
            <i/>
            <sz val="10"/>
            <color indexed="81"/>
            <rFont val="Arial"/>
            <family val="2"/>
            <charset val="238"/>
          </rPr>
          <t>musí zahrnovat požadavky na danou činnost, včetně odkazů na dokumentaci a  vyjádření dotčených orgánů a osob, vznesených v průběhu stavebního řízení.</t>
        </r>
        <r>
          <rPr>
            <i/>
            <sz val="9"/>
            <color indexed="81"/>
            <rFont val="Tahoma"/>
            <family val="2"/>
            <charset val="238"/>
          </rPr>
          <t xml:space="preserve">
</t>
        </r>
      </text>
    </comment>
    <comment ref="F72" authorId="0" shapeId="0" xr:uid="{522179A1-D78B-4DEE-8ED4-CA5A7397E5B7}">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73" authorId="0" shapeId="0" xr:uid="{A4228029-0216-4885-9679-2200FF574C0A}">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74" authorId="0" shapeId="0" xr:uid="{DE300D03-E1C1-4D03-B1D8-4AECAB8E1B0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5" authorId="0" shapeId="0" xr:uid="{1585AE72-9381-4E9E-9E8E-9B757C1F85A4}">
      <text>
        <r>
          <rPr>
            <b/>
            <i/>
            <u/>
            <sz val="10"/>
            <color indexed="81"/>
            <rFont val="Arial"/>
            <family val="2"/>
            <charset val="238"/>
          </rPr>
          <t xml:space="preserve">Technická specifikace položky :
</t>
        </r>
        <r>
          <rPr>
            <i/>
            <sz val="10"/>
            <color indexed="81"/>
            <rFont val="Arial"/>
            <family val="2"/>
            <charset val="238"/>
          </rPr>
          <t>musí zahrnovat požadavky na danou činnost, včetně odkazů na dokumentaci a  vyjádření dotčených orgánů a osob, vznesených v průběhu stavebního řízení.</t>
        </r>
        <r>
          <rPr>
            <i/>
            <sz val="9"/>
            <color indexed="81"/>
            <rFont val="Tahoma"/>
            <family val="2"/>
            <charset val="238"/>
          </rPr>
          <t xml:space="preserve">
</t>
        </r>
      </text>
    </comment>
    <comment ref="F76" authorId="0" shapeId="0" xr:uid="{9C7B4509-42D6-435A-9C18-4743CAB69BBF}">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77" authorId="0" shapeId="0" xr:uid="{F1196973-3B3E-4215-A0FD-BFF5EB8A4C98}">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78" authorId="0" shapeId="0" xr:uid="{268987FD-9F1D-439B-B1E6-BC9A05E7F836}">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9" authorId="0" shapeId="0" xr:uid="{E58B663A-4C10-4853-A148-7C9684B18E27}">
      <text>
        <r>
          <rPr>
            <b/>
            <i/>
            <u/>
            <sz val="10"/>
            <color indexed="81"/>
            <rFont val="Arial"/>
            <family val="2"/>
            <charset val="238"/>
          </rPr>
          <t xml:space="preserve">Technická specifikace položky :
</t>
        </r>
        <r>
          <rPr>
            <i/>
            <sz val="10"/>
            <color indexed="81"/>
            <rFont val="Arial"/>
            <family val="2"/>
            <charset val="238"/>
          </rPr>
          <t>musí zahrnovat požadavky na danou činnost, včetně odkazů na dokumentaci a  vyjádření dotčených orgánů a osob, vznesených v průběhu stavebního řízení.</t>
        </r>
        <r>
          <rPr>
            <i/>
            <sz val="9"/>
            <color indexed="81"/>
            <rFont val="Tahoma"/>
            <family val="2"/>
            <charset val="238"/>
          </rPr>
          <t xml:space="preserve">
</t>
        </r>
      </text>
    </comment>
    <comment ref="F80" authorId="0" shapeId="0" xr:uid="{5D0C88FA-EDE3-4C32-8A4C-B2F16E9DF0C7}">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81" authorId="0" shapeId="0" xr:uid="{25311FA7-D746-4A99-BCA4-272108B8177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82" authorId="0" shapeId="0" xr:uid="{1BB7DEB4-6DEA-4E18-95D8-056A8B32479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3" authorId="0" shapeId="0" xr:uid="{3A05353C-FC4B-4285-B6FE-7C8D932BC0DB}">
      <text>
        <r>
          <rPr>
            <b/>
            <i/>
            <u/>
            <sz val="10"/>
            <color indexed="81"/>
            <rFont val="Arial"/>
            <family val="2"/>
            <charset val="238"/>
          </rPr>
          <t xml:space="preserve">Technická specifikace položky :
</t>
        </r>
        <r>
          <rPr>
            <i/>
            <sz val="10"/>
            <color indexed="81"/>
            <rFont val="Arial"/>
            <family val="2"/>
            <charset val="238"/>
          </rPr>
          <t>musí zahrnovat požadavky na danou činnost, včetně odkazů na dokumentaci a  vyjádření dotčených orgánů a osob, vznesených v průběhu stavebního řízení.</t>
        </r>
        <r>
          <rPr>
            <i/>
            <sz val="9"/>
            <color indexed="81"/>
            <rFont val="Tahoma"/>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06D7A9B-7E0E-4DF6-8A35-3148DFFF66F1}">
      <text>
        <r>
          <rPr>
            <b/>
            <u/>
            <sz val="10"/>
            <color indexed="81"/>
            <rFont val="Calibri"/>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charset val="238"/>
          </rPr>
          <t xml:space="preserve">
</t>
        </r>
      </text>
    </comment>
    <comment ref="K4" authorId="0" shapeId="0" xr:uid="{216CCB8A-E64C-48DD-932B-0FFDABCD5B04}">
      <text>
        <r>
          <rPr>
            <b/>
            <u/>
            <sz val="11"/>
            <color indexed="81"/>
            <rFont val="Arial"/>
            <charset val="238"/>
          </rPr>
          <t>1. až 3. místo obor:</t>
        </r>
        <r>
          <rPr>
            <b/>
            <u/>
            <sz val="9"/>
            <color indexed="81"/>
            <rFont val="Arial"/>
            <charset val="238"/>
          </rPr>
          <t xml:space="preserve">
</t>
        </r>
        <r>
          <rPr>
            <b/>
            <sz val="9"/>
            <color indexed="81"/>
            <rFont val="Arial"/>
            <charset val="238"/>
          </rPr>
          <t xml:space="preserve">obory stavebních objektů:
</t>
        </r>
        <r>
          <rPr>
            <b/>
            <i/>
            <sz val="9"/>
            <color indexed="81"/>
            <rFont val="Arial"/>
            <charset val="238"/>
          </rPr>
          <t>801</t>
        </r>
        <r>
          <rPr>
            <i/>
            <sz val="9"/>
            <color indexed="81"/>
            <rFont val="Arial"/>
            <charset val="238"/>
          </rPr>
          <t xml:space="preserve"> Budovy občanské výstavby
</t>
        </r>
        <r>
          <rPr>
            <b/>
            <i/>
            <sz val="9"/>
            <color indexed="81"/>
            <rFont val="Arial"/>
            <charset val="238"/>
          </rPr>
          <t>802</t>
        </r>
        <r>
          <rPr>
            <i/>
            <sz val="9"/>
            <color indexed="81"/>
            <rFont val="Arial"/>
            <charset val="238"/>
          </rPr>
          <t xml:space="preserve"> Haly občanské výstavby
</t>
        </r>
        <r>
          <rPr>
            <b/>
            <i/>
            <sz val="9"/>
            <color indexed="81"/>
            <rFont val="Arial"/>
            <charset val="238"/>
          </rPr>
          <t>803</t>
        </r>
        <r>
          <rPr>
            <i/>
            <sz val="9"/>
            <color indexed="81"/>
            <rFont val="Arial"/>
            <charset val="238"/>
          </rPr>
          <t xml:space="preserve"> Budovy pro bydlení
</t>
        </r>
        <r>
          <rPr>
            <b/>
            <i/>
            <sz val="9"/>
            <color indexed="81"/>
            <rFont val="Arial"/>
            <charset val="238"/>
          </rPr>
          <t>811</t>
        </r>
        <r>
          <rPr>
            <i/>
            <sz val="9"/>
            <color indexed="81"/>
            <rFont val="Arial"/>
            <charset val="238"/>
          </rPr>
          <t xml:space="preserve"> Haly pro výrobu a služby
</t>
        </r>
        <r>
          <rPr>
            <b/>
            <i/>
            <sz val="9"/>
            <color indexed="81"/>
            <rFont val="Arial"/>
            <charset val="238"/>
          </rPr>
          <t>812</t>
        </r>
        <r>
          <rPr>
            <i/>
            <sz val="9"/>
            <color indexed="81"/>
            <rFont val="Arial"/>
            <charset val="238"/>
          </rPr>
          <t xml:space="preserve"> Budovy pro výrobu a služby
</t>
        </r>
        <r>
          <rPr>
            <b/>
            <i/>
            <sz val="9"/>
            <color indexed="81"/>
            <rFont val="Arial"/>
            <charset val="238"/>
          </rPr>
          <t>813</t>
        </r>
        <r>
          <rPr>
            <i/>
            <sz val="9"/>
            <color indexed="81"/>
            <rFont val="Arial"/>
            <charset val="238"/>
          </rPr>
          <t xml:space="preserve"> Věže, stožáry a komíny
</t>
        </r>
        <r>
          <rPr>
            <b/>
            <i/>
            <sz val="9"/>
            <color indexed="81"/>
            <rFont val="Arial"/>
            <charset val="238"/>
          </rPr>
          <t>814</t>
        </r>
        <r>
          <rPr>
            <i/>
            <sz val="9"/>
            <color indexed="81"/>
            <rFont val="Arial"/>
            <charset val="238"/>
          </rPr>
          <t xml:space="preserve"> Nádrže a jímky čistíren vod a ostatní pozemní nádrže,  
        jímky zásobníky a jámy
</t>
        </r>
        <r>
          <rPr>
            <b/>
            <i/>
            <sz val="9"/>
            <color indexed="81"/>
            <rFont val="Arial"/>
            <charset val="238"/>
          </rPr>
          <t>815</t>
        </r>
        <r>
          <rPr>
            <i/>
            <sz val="9"/>
            <color indexed="81"/>
            <rFont val="Arial"/>
            <charset val="238"/>
          </rPr>
          <t xml:space="preserve"> Objekty pozemní zvláštní
</t>
        </r>
        <r>
          <rPr>
            <b/>
            <i/>
            <sz val="9"/>
            <color indexed="81"/>
            <rFont val="Arial"/>
            <charset val="238"/>
          </rPr>
          <t>817</t>
        </r>
        <r>
          <rPr>
            <i/>
            <sz val="9"/>
            <color indexed="81"/>
            <rFont val="Arial"/>
            <charset val="238"/>
          </rPr>
          <t xml:space="preserve"> Objekty jaderných zařízení
</t>
        </r>
        <r>
          <rPr>
            <b/>
            <i/>
            <sz val="9"/>
            <color indexed="81"/>
            <rFont val="Arial"/>
            <charset val="238"/>
          </rPr>
          <t>821</t>
        </r>
        <r>
          <rPr>
            <i/>
            <sz val="9"/>
            <color indexed="81"/>
            <rFont val="Arial"/>
            <charset val="238"/>
          </rPr>
          <t xml:space="preserve"> Mosty
</t>
        </r>
        <r>
          <rPr>
            <b/>
            <i/>
            <sz val="9"/>
            <color indexed="81"/>
            <rFont val="Arial"/>
            <charset val="238"/>
          </rPr>
          <t>822</t>
        </r>
        <r>
          <rPr>
            <i/>
            <sz val="9"/>
            <color indexed="81"/>
            <rFont val="Arial"/>
            <charset val="238"/>
          </rPr>
          <t xml:space="preserve"> Komunikace pozemní a letiště
</t>
        </r>
        <r>
          <rPr>
            <b/>
            <i/>
            <sz val="9"/>
            <color indexed="81"/>
            <rFont val="Arial"/>
            <charset val="238"/>
          </rPr>
          <t>823</t>
        </r>
        <r>
          <rPr>
            <i/>
            <sz val="9"/>
            <color indexed="81"/>
            <rFont val="Arial"/>
            <charset val="238"/>
          </rPr>
          <t xml:space="preserve"> Plochy a úpravy území
</t>
        </r>
        <r>
          <rPr>
            <b/>
            <i/>
            <sz val="9"/>
            <color indexed="81"/>
            <rFont val="Arial"/>
            <charset val="238"/>
          </rPr>
          <t>824</t>
        </r>
        <r>
          <rPr>
            <i/>
            <sz val="9"/>
            <color indexed="81"/>
            <rFont val="Arial"/>
            <charset val="238"/>
          </rPr>
          <t xml:space="preserve"> Dráhy kolejové
</t>
        </r>
        <r>
          <rPr>
            <b/>
            <i/>
            <sz val="9"/>
            <color indexed="81"/>
            <rFont val="Arial"/>
            <charset val="238"/>
          </rPr>
          <t>825</t>
        </r>
        <r>
          <rPr>
            <i/>
            <sz val="9"/>
            <color indexed="81"/>
            <rFont val="Arial"/>
            <charset val="238"/>
          </rPr>
          <t xml:space="preserve"> Objekty podzemní (mimo důlní)
</t>
        </r>
        <r>
          <rPr>
            <b/>
            <i/>
            <sz val="9"/>
            <color indexed="81"/>
            <rFont val="Arial"/>
            <charset val="238"/>
          </rPr>
          <t>826</t>
        </r>
        <r>
          <rPr>
            <i/>
            <sz val="9"/>
            <color indexed="81"/>
            <rFont val="Arial"/>
            <charset val="238"/>
          </rPr>
          <t xml:space="preserve"> Objekty podzemní důlní
</t>
        </r>
        <r>
          <rPr>
            <b/>
            <i/>
            <sz val="9"/>
            <color indexed="81"/>
            <rFont val="Arial"/>
            <charset val="238"/>
          </rPr>
          <t>827</t>
        </r>
        <r>
          <rPr>
            <i/>
            <sz val="9"/>
            <color indexed="81"/>
            <rFont val="Arial"/>
            <charset val="238"/>
          </rPr>
          <t xml:space="preserve"> Vedení trubní dálková a přípojná
</t>
        </r>
        <r>
          <rPr>
            <b/>
            <i/>
            <sz val="9"/>
            <color indexed="81"/>
            <rFont val="Arial"/>
            <charset val="238"/>
          </rPr>
          <t>828</t>
        </r>
        <r>
          <rPr>
            <i/>
            <sz val="9"/>
            <color indexed="81"/>
            <rFont val="Arial"/>
            <charset val="238"/>
          </rPr>
          <t xml:space="preserve"> Vedení elektrická a dráhy visuté
</t>
        </r>
        <r>
          <rPr>
            <b/>
            <i/>
            <sz val="9"/>
            <color indexed="81"/>
            <rFont val="Arial"/>
            <charset val="238"/>
          </rPr>
          <t>831</t>
        </r>
        <r>
          <rPr>
            <i/>
            <sz val="9"/>
            <color indexed="81"/>
            <rFont val="Arial"/>
            <charset val="238"/>
          </rPr>
          <t xml:space="preserve"> Hydromeliorace
</t>
        </r>
        <r>
          <rPr>
            <b/>
            <i/>
            <sz val="9"/>
            <color indexed="81"/>
            <rFont val="Arial"/>
            <charset val="238"/>
          </rPr>
          <t>832</t>
        </r>
        <r>
          <rPr>
            <i/>
            <sz val="9"/>
            <color indexed="81"/>
            <rFont val="Arial"/>
            <charset val="238"/>
          </rPr>
          <t xml:space="preserve"> Hráze a objekty na tocích
</t>
        </r>
        <r>
          <rPr>
            <b/>
            <i/>
            <sz val="9"/>
            <color indexed="81"/>
            <rFont val="Arial"/>
            <charset val="238"/>
          </rPr>
          <t>833</t>
        </r>
        <r>
          <rPr>
            <i/>
            <sz val="9"/>
            <color indexed="81"/>
            <rFont val="Arial"/>
            <charset val="238"/>
          </rPr>
          <t xml:space="preserve"> Nádrže na tocích, úpravy toků a kanály
</t>
        </r>
        <r>
          <rPr>
            <b/>
            <sz val="9"/>
            <color indexed="81"/>
            <rFont val="Arial"/>
            <charset val="238"/>
          </rPr>
          <t xml:space="preserve">
obory stavebních prací výrobní povahy:
</t>
        </r>
        <r>
          <rPr>
            <b/>
            <i/>
            <sz val="9"/>
            <color indexed="81"/>
            <rFont val="Arial"/>
            <charset val="238"/>
          </rPr>
          <t>838</t>
        </r>
        <r>
          <rPr>
            <i/>
            <sz val="9"/>
            <color indexed="81"/>
            <rFont val="Arial"/>
            <charset val="238"/>
          </rPr>
          <t xml:space="preserve"> Práce stavební při budování technologických zařizení
</t>
        </r>
        <r>
          <rPr>
            <b/>
            <i/>
            <sz val="9"/>
            <color indexed="81"/>
            <rFont val="Arial"/>
            <charset val="238"/>
          </rPr>
          <t>839</t>
        </r>
        <r>
          <rPr>
            <i/>
            <sz val="9"/>
            <color indexed="81"/>
            <rFont val="Arial"/>
            <charset val="238"/>
          </rPr>
          <t xml:space="preserve"> Práce výrobní povahy ve stavebnictví</t>
        </r>
      </text>
    </comment>
    <comment ref="L4" authorId="0" shapeId="0" xr:uid="{D72A3CB0-F62E-4C26-9C17-360828F33663}">
      <text>
        <r>
          <rPr>
            <b/>
            <u/>
            <sz val="10"/>
            <color indexed="81"/>
            <rFont val="Arial"/>
            <charset val="238"/>
          </rPr>
          <t>povinné:</t>
        </r>
        <r>
          <rPr>
            <b/>
            <sz val="9"/>
            <color indexed="81"/>
            <rFont val="Arial"/>
            <charset val="238"/>
          </rPr>
          <t xml:space="preserve">
</t>
        </r>
        <r>
          <rPr>
            <b/>
            <i/>
            <sz val="9"/>
            <color indexed="81"/>
            <rFont val="Arial"/>
            <charset val="238"/>
          </rPr>
          <t>4. místo skupina</t>
        </r>
        <r>
          <rPr>
            <b/>
            <sz val="9"/>
            <color indexed="81"/>
            <rFont val="Arial"/>
            <charset val="238"/>
          </rPr>
          <t xml:space="preserve">
</t>
        </r>
        <r>
          <rPr>
            <b/>
            <u/>
            <sz val="10"/>
            <color indexed="81"/>
            <rFont val="Arial"/>
            <charset val="238"/>
          </rPr>
          <t>volitelné v případě, že lze zařadit:</t>
        </r>
        <r>
          <rPr>
            <b/>
            <sz val="9"/>
            <color indexed="81"/>
            <rFont val="Arial"/>
            <charset val="238"/>
          </rPr>
          <t xml:space="preserve">
</t>
        </r>
        <r>
          <rPr>
            <i/>
            <sz val="9"/>
            <color indexed="81"/>
            <rFont val="Arial"/>
            <charset val="238"/>
          </rPr>
          <t>5. místo podskupina
6. místo konstrukčně materiálová charakteristika
7. místo druh stavební akce</t>
        </r>
      </text>
    </comment>
    <comment ref="E5" authorId="0" shapeId="0" xr:uid="{928D8AF4-009A-446B-AD83-394055ECDD7C}">
      <text>
        <r>
          <rPr>
            <b/>
            <u/>
            <sz val="10"/>
            <color indexed="81"/>
            <rFont val="Calibri"/>
            <charset val="238"/>
          </rPr>
          <t>Vybrat stádium dle seznamu:</t>
        </r>
        <r>
          <rPr>
            <sz val="9"/>
            <color indexed="81"/>
            <rFont val="Calibri"/>
            <charset val="238"/>
          </rPr>
          <t xml:space="preserve">
</t>
        </r>
        <r>
          <rPr>
            <i/>
            <sz val="9"/>
            <color indexed="81"/>
            <rFont val="Calibri"/>
            <charset val="238"/>
          </rPr>
          <t xml:space="preserve">Nejčastěji se zpracovává rozpočet ve </t>
        </r>
        <r>
          <rPr>
            <b/>
            <i/>
            <sz val="9"/>
            <color indexed="81"/>
            <rFont val="Calibri"/>
            <charset val="238"/>
          </rPr>
          <t>Stádiu 3</t>
        </r>
        <r>
          <rPr>
            <i/>
            <sz val="9"/>
            <color indexed="81"/>
            <rFont val="Calibri"/>
            <charset val="238"/>
          </rPr>
          <t xml:space="preserve"> jako rozpočet jednotlivých SO a PS v rozsahu oceněných soupisů prací dle požadavků vyhlášky č. 169/2016 Sb. 
</t>
        </r>
        <r>
          <rPr>
            <sz val="9"/>
            <color indexed="81"/>
            <rFont val="Calibri"/>
            <charset val="238"/>
          </rPr>
          <t xml:space="preserve">V případě, </t>
        </r>
        <r>
          <rPr>
            <i/>
            <sz val="9"/>
            <color indexed="81"/>
            <rFont val="Calibri"/>
            <charset val="238"/>
          </rPr>
          <t xml:space="preserve">že je podkladem pro výběr zhotovitele na realizaci díla dokumentace ve </t>
        </r>
        <r>
          <rPr>
            <b/>
            <i/>
            <sz val="9"/>
            <color indexed="81"/>
            <rFont val="Calibri"/>
            <charset val="238"/>
          </rPr>
          <t>Stádiu 2</t>
        </r>
        <r>
          <rPr>
            <i/>
            <sz val="9"/>
            <color indexed="81"/>
            <rFont val="Calibri"/>
            <charset val="238"/>
          </rPr>
          <t xml:space="preserve"> - DUR (tj. v případě staveb kdy projektovou dokumentaci ve stádiu 3 zpracovává zhotovitel stavby), jsou rozpočty jednotlivých SO a PS zpracované ve </t>
        </r>
        <r>
          <rPr>
            <i/>
            <u/>
            <sz val="9"/>
            <color indexed="81"/>
            <rFont val="Calibri"/>
            <charset val="238"/>
          </rPr>
          <t>Formulářích SOPS stádia 3</t>
        </r>
        <r>
          <rPr>
            <i/>
            <sz val="9"/>
            <color indexed="81"/>
            <rFont val="Calibri"/>
            <charset val="238"/>
          </rPr>
          <t xml:space="preserve"> jako podklad pro sestavení souhrnného rozpočtu a určení předpokládané hodnoty zakázky pro další stádia.  V Řádku se uveden, že se jedná o </t>
        </r>
        <r>
          <rPr>
            <b/>
            <i/>
            <sz val="9"/>
            <color indexed="81"/>
            <rFont val="Calibri"/>
            <charset val="238"/>
          </rPr>
          <t>Stádium 2</t>
        </r>
        <r>
          <rPr>
            <i/>
            <sz val="9"/>
            <color indexed="81"/>
            <rFont val="Calibri"/>
            <charset val="238"/>
          </rPr>
          <t>.</t>
        </r>
        <r>
          <rPr>
            <sz val="9"/>
            <color indexed="81"/>
            <rFont val="Calibri"/>
            <charset val="238"/>
          </rPr>
          <t xml:space="preserve">
</t>
        </r>
      </text>
    </comment>
    <comment ref="F14" authorId="0" shapeId="0" xr:uid="{10CB6747-1586-41DE-A362-C340AE284ADA}">
      <text>
        <r>
          <rPr>
            <b/>
            <i/>
            <u/>
            <sz val="10"/>
            <color indexed="81"/>
            <rFont val="Arial"/>
            <charset val="238"/>
          </rPr>
          <t>Přesný název položky</t>
        </r>
        <r>
          <rPr>
            <i/>
            <sz val="10"/>
            <color indexed="81"/>
            <rFont val="Arial"/>
            <charset val="238"/>
          </rPr>
          <t xml:space="preserve"> dle cenové soustavy, nebo vlastní název v případě položky mimo cenovou soustavu.</t>
        </r>
        <r>
          <rPr>
            <sz val="10"/>
            <color indexed="81"/>
            <rFont val="Arial"/>
            <charset val="238"/>
          </rPr>
          <t xml:space="preserve">
</t>
        </r>
      </text>
    </comment>
    <comment ref="F15" authorId="0" shapeId="0" xr:uid="{666DDB84-E049-4AC4-BEC8-FC540AE99694}">
      <text>
        <r>
          <rPr>
            <i/>
            <sz val="10"/>
            <color indexed="81"/>
            <rFont val="Arial"/>
            <charset val="238"/>
          </rPr>
          <t>Doplnění názvu položky upřesňující popis dané položky</t>
        </r>
        <r>
          <rPr>
            <b/>
            <i/>
            <sz val="10"/>
            <color indexed="81"/>
            <rFont val="Arial"/>
            <charset val="238"/>
          </rPr>
          <t>.
V případě, že název položky odpovídá popisu položky, pole zůstane bez vyplnění.</t>
        </r>
        <r>
          <rPr>
            <sz val="9"/>
            <color indexed="81"/>
            <rFont val="Tahoma"/>
            <charset val="238"/>
          </rPr>
          <t xml:space="preserve">
</t>
        </r>
      </text>
    </comment>
    <comment ref="F16" authorId="0" shapeId="0" xr:uid="{2B09F3FD-DCA2-4F02-9E3C-2DD5A028A7A5}">
      <text>
        <r>
          <rPr>
            <i/>
            <sz val="10"/>
            <color indexed="81"/>
            <rFont val="Arial"/>
            <charset val="238"/>
          </rPr>
          <t>Způsob stanovení množství položky, nebo odkaz na příslušnou přílohu dokumentace.</t>
        </r>
        <r>
          <rPr>
            <sz val="9"/>
            <color indexed="81"/>
            <rFont val="Tahoma"/>
            <charset val="238"/>
          </rPr>
          <t xml:space="preserve">
</t>
        </r>
      </text>
    </comment>
    <comment ref="F17" authorId="0" shapeId="0" xr:uid="{8D71B037-0A0C-4D69-9249-62B4C7989AA0}">
      <text>
        <r>
          <rPr>
            <b/>
            <i/>
            <u/>
            <sz val="10"/>
            <color indexed="81"/>
            <rFont val="Arial"/>
            <charset val="238"/>
          </rPr>
          <t>Technická specifikace položky :</t>
        </r>
        <r>
          <rPr>
            <i/>
            <sz val="10"/>
            <color indexed="81"/>
            <rFont val="Arial"/>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charset val="238"/>
          </rPr>
          <t xml:space="preserve"> "Technická specifikace položky odpovídá příslušné cenové soustavě."</t>
        </r>
        <r>
          <rPr>
            <sz val="9"/>
            <color indexed="81"/>
            <rFont val="Tahoma"/>
            <charset val="23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1D0A9804-5A62-43F9-9C6B-C57172C33CDB}">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EED84FF5-DA4B-4A23-BB34-B0E4E9D56C6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A25F5A10-7A05-4E51-93BD-8F8F0495457F}">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D1EF173A-0F7D-4728-B3B8-2660604DA335}">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3EC664BC-5F3D-4712-B6CC-4FD64E9FF335}">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213E734C-02F4-4853-AB29-2CA1AA4695D8}">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64443E24-DF94-4F41-9752-60A01C5DF65D}">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8CE44BCE-AB07-4D26-A72C-03F8CFC09ED6}">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ED5E0BA3-0871-40C6-8B18-3A4850314E55}">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265CE7CF-0D3C-4598-8A84-1604AE991A8B}">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174EA6EB-CE4D-4BF8-A4F5-7DEA63D67D5C}">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32006E0B-782D-456E-B189-A7B0D2CC50D3}">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FF180F66-1938-4414-9764-820D3C2B34C7}">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AAC15442-4957-4CE6-8B05-68AEB211B9F5}">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9BA1718A-BC96-44AF-910C-062E97743C83}">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FD4948CA-EC2B-4C1B-84DC-0334BE989615}">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73AA143-BFB4-4CE7-AEDE-BAA272E7D5EA}">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CDACB4D8-F319-4C2C-8418-8C8C82E6890B}">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16F4CB5D-194F-4225-9E16-B1FE4CA8DDAD}">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A9F2DD8E-CACA-46B2-830E-85B6D36640ED}">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9ADB4525-CF5C-4F4C-AFF3-43B78CE505BD}">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AC19E9E4-3468-41AB-A702-7B413FA67CC9}">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25BE657-9B7B-4351-8BED-CCFCA06377AD}">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DA85059C-9746-4C04-B53D-475243071EBC}">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29D8EFC-A0D8-45FD-A6DB-2396B8914CBB}">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BB7AB014-523D-44FA-BE86-44C1880392AF}">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E4F809AD-E962-4EA3-859C-19295DCED65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9608A86-DC00-46C8-9D42-338FC9BA5B57}">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1A2B80A1-0E45-4761-B807-020B6A63D9EB}">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A7659FBB-BF05-4514-832E-5AC3A2ECDD7D}">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7FE7514C-8825-4066-9B97-A282E2E65D0F}">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118336B1-BBAC-4DA9-817C-1FB798098D46}">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42D04E9-CF07-4CF6-B61B-22FE8A1CB9CF}">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2CF508FE-37ED-4131-9E29-9089575ED355}">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64BF2368-7E3D-4451-8698-40D40FA7A12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8D892158-A729-4892-AFB4-940F6807E2AB}">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0C6200F1-A74D-4AB9-A713-63245233EC6D}">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15A50316-5998-4239-BA35-E7428EC3D43E}">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18BE6B49-1449-42CE-8547-568F0E0504D4}">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87592783-1E9F-4A47-97AC-372209B1A881}">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AF266C79-DC4B-4167-A643-8424287DC2BE}">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1F269D72-5301-4F70-8EB8-D97B519CCECC}">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3350FC13-B590-4D2E-A860-F939B22E8E21}">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446DA2B9-7E07-45C7-B557-A7EC22090441}">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FF6FBECC-0BBA-48DD-B8FE-6A904D857CB3}">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D9D1A247-0332-459C-A9E6-5984DD319E2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A1B07A2A-5D0C-45E7-AF6D-11B4DE76AB25}">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69A3E33A-4A1D-4656-BDEA-9724C9023006}">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A0FA5446-B718-4CAC-9AFA-96475692DA42}">
      <text>
        <r>
          <rPr>
            <b/>
            <u/>
            <sz val="10"/>
            <color indexed="81"/>
            <rFont val="Calibri"/>
            <family val="2"/>
            <charset val="238"/>
          </rPr>
          <t xml:space="preserve">Vybrat kategorii dle seznamu
D.1.1 Zabezpečovací zařízení
D.1.2 Sdělovací zařízení
D.1.3 Silnoproudá technologie včetně DŘT
D.1.4 Ostatní technologická zařízení
D.2.1.1  Kolejový svršek a spodek 
D.2.1.2  Nástupiště
D.2.1.3  Přejezdy a přechody
D.2.1.4  Mosty, propustky, zdi
D.2.1.5  Ostatní inženýrské objekty
D.2.1.6  Potrubní vedení
D.2.1.7  Tunely
D.2.1.8  Pozemní komunikace
D.2.1.9  Kabelovody, kolektory
D.2.1.1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
</t>
        </r>
        <r>
          <rPr>
            <sz val="9"/>
            <color indexed="81"/>
            <rFont val="Calibri"/>
            <family val="2"/>
            <charset val="238"/>
          </rPr>
          <t xml:space="preserve">
</t>
        </r>
      </text>
    </comment>
    <comment ref="K4" authorId="0" shapeId="0" xr:uid="{084CE52E-C8A0-46BF-8A77-491467DF5CB5}">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EAFCCCA6-152E-48C6-B708-36EDE2A46283}">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5D3D54DE-B58C-4312-9907-DAFC759A55FC}">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B88EBC05-3866-4EF4-83C1-BB940A231F15}">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3B51C585-C033-4B7A-A5DC-7BD385B420D8}">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9F0A330F-94A6-4254-8A40-B441FF705822}">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2CB57CED-FA09-43C7-8308-6F6D86A3C607}">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<sst xmlns="http://schemas.openxmlformats.org/spreadsheetml/2006/main" count="6131" uniqueCount="1140">
  <si>
    <t>SOUPIS PRACÍ / ROZPOČET</t>
  </si>
  <si>
    <t>PS 01</t>
  </si>
  <si>
    <t>Stavba:</t>
  </si>
  <si>
    <t>2003079-02</t>
  </si>
  <si>
    <t>Rekonstrukce PZS přejezdu P7566 v km 72,988 trati Olomouc - Krnov</t>
  </si>
  <si>
    <t>CELKEM:</t>
  </si>
  <si>
    <t>SO/PS:</t>
  </si>
  <si>
    <t>Kabelizace a vazby na SZZ</t>
  </si>
  <si>
    <t>Kategorie monitoringu:</t>
  </si>
  <si>
    <t>D.1.1</t>
  </si>
  <si>
    <t>Klasifikace SO/PS:</t>
  </si>
  <si>
    <t>Stupeň dokumentace:</t>
  </si>
  <si>
    <t>Stádium 3</t>
  </si>
  <si>
    <t>ISPROFIN:</t>
  </si>
  <si>
    <t>5713520044</t>
  </si>
  <si>
    <t>Majetek:</t>
  </si>
  <si>
    <t>SŽ</t>
  </si>
  <si>
    <t/>
  </si>
  <si>
    <t>Označení (S-kód):</t>
  </si>
  <si>
    <t>S621900152</t>
  </si>
  <si>
    <t>Zahájení realizace SO/PS:</t>
  </si>
  <si>
    <t>Zpracovatel:</t>
  </si>
  <si>
    <t>Cenová úroveň:</t>
  </si>
  <si>
    <t>Ukončení realizace SO/PS.</t>
  </si>
  <si>
    <t>SB projekt s.r.o.</t>
  </si>
  <si>
    <t>Bc. Filip Štěpán</t>
  </si>
  <si>
    <t>Datum zpracování:</t>
  </si>
  <si>
    <t>16.02.2023</t>
  </si>
  <si>
    <t>Poř. číslo</t>
  </si>
  <si>
    <t>Kód položky</t>
  </si>
  <si>
    <t>Varianta</t>
  </si>
  <si>
    <t>Cenová soustava</t>
  </si>
  <si>
    <t>Název položky/dílu</t>
  </si>
  <si>
    <t>MJ</t>
  </si>
  <si>
    <t>Množství</t>
  </si>
  <si>
    <t>Jednotková hmotnost</t>
  </si>
  <si>
    <t>Celková hmotnost</t>
  </si>
  <si>
    <t>Cena</t>
  </si>
  <si>
    <t>Jednotková</t>
  </si>
  <si>
    <t>Celkem</t>
  </si>
  <si>
    <t>D</t>
  </si>
  <si>
    <t>Díl:</t>
  </si>
  <si>
    <t>0</t>
  </si>
  <si>
    <t>Všeobecné konstrukce a práce</t>
  </si>
  <si>
    <t>P</t>
  </si>
  <si>
    <t>02910</t>
  </si>
  <si>
    <t>OTSKP - 2022</t>
  </si>
  <si>
    <t>OSTATNÍ POŽADAVKY - ZEMĚMĚŘIČSKÁ MĚŘENÍ</t>
  </si>
  <si>
    <t>KPL</t>
  </si>
  <si>
    <t>PP</t>
  </si>
  <si>
    <t>vytyčení stávajících sítí</t>
  </si>
  <si>
    <t>VV</t>
  </si>
  <si>
    <t>1.000000 = 1,000 [A]</t>
  </si>
  <si>
    <t>TS</t>
  </si>
  <si>
    <t>zahrnuje veškeré náklady spojené s objednatelem požadovanými pracemi, 
- pro stanovení orientační investorské ceny určete jednotkovou cenu jako 1% odhadované ceny stavby</t>
  </si>
  <si>
    <t>02943</t>
  </si>
  <si>
    <t>OSTATNÍ POŽADAVKY - VYPRACOVÁNÍ RDS</t>
  </si>
  <si>
    <t>zahrnuje veškeré náklady spojené s objednatelem požadovanými pracemi</t>
  </si>
  <si>
    <t>Součet</t>
  </si>
  <si>
    <t>za Díl</t>
  </si>
  <si>
    <t>1</t>
  </si>
  <si>
    <t>Zemní práce</t>
  </si>
  <si>
    <t>13293</t>
  </si>
  <si>
    <t>HLOUBENÍ RÝH ŠÍŘ DO 2M PAŽ I NEPAŽ TŘ. III</t>
  </si>
  <si>
    <t>M3</t>
  </si>
  <si>
    <t>0,35*0,8*(14+275+8+15+5+6+27+14+45+6+43) = 128,240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</si>
  <si>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</si>
  <si>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14173</t>
  </si>
  <si>
    <t>PROTLAČOVÁNÍ POTRUBÍ Z PLAST HMOT DN DO 200MM</t>
  </si>
  <si>
    <t>M</t>
  </si>
  <si>
    <t>2*28+12+5+14+12+2*10+8+10+14 = 151,000 [A]</t>
  </si>
  <si>
    <t>položka zahrnuje dodávku protlačovaného potrubí a veškeré pomocné práce (startovací zařízení, startovací a cílová jáma, opěrné a vodící bloky a pod.)</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</si>
  <si>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</si>
  <si>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</si>
  <si>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</si>
  <si>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</si>
  <si>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</si>
  <si>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0,35*0,2*(14+275+8+15+5+6+27+14+45+6+43) = 32,060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</si>
  <si>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</si>
  <si>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18215</t>
  </si>
  <si>
    <t>ÚPRAVA POVRCHŮ SROVNÁNÍM ÚZEMÍ V TL DO 0,50M</t>
  </si>
  <si>
    <t>M2</t>
  </si>
  <si>
    <t>2*(14+275+8+15+5+6+27+14+45+6+43) = 916,000 [A]</t>
  </si>
  <si>
    <t>položka zahrnuje srovnání výškových rozdílů terénu</t>
  </si>
  <si>
    <t>70</t>
  </si>
  <si>
    <t>Všeobecné práce pro silnoproud a slaboproud</t>
  </si>
  <si>
    <t>587206</t>
  </si>
  <si>
    <t>PŘEDLÁŽDĚNÍ KRYTU Z BETONOVÝCH DLAŽDIC SE ZÁMKEM</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</si>
  <si>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</si>
  <si>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701003</t>
  </si>
  <si>
    <t>BETONOVÝ OZNAČNÍK</t>
  </si>
  <si>
    <t>KUS</t>
  </si>
  <si>
    <t>1. Položka obsahuje:
 – veškeré práce a materiál obsažený v názvu položky
2. Položka neobsahuje:
 X
3. Způsob měření:
Udává se počet kusů kompletní konstrukce nebo práce.</t>
  </si>
  <si>
    <t>701004</t>
  </si>
  <si>
    <t>VYHLEDÁVACÍ MARKER ZEMNÍ</t>
  </si>
  <si>
    <t>25.000000 = 25,000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</si>
  <si>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</si>
  <si>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702112</t>
  </si>
  <si>
    <t>KABELOVÝ ŽLAB ZEMNÍ VČETNĚ KRYTU SVĚTLÉ ŠÍŘKY PŘES 120 DO 250 MM</t>
  </si>
  <si>
    <t>14+275+8+5+6+27+14 = 349,000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</si>
  <si>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</si>
  <si>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702311</t>
  </si>
  <si>
    <t>ZAKRYTÍ KABELŮ VÝSTRAŽNOU FÓLIÍ ŠÍŘKY DO 20 CM</t>
  </si>
  <si>
    <t>407.000000 = 407,000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</si>
  <si>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</si>
  <si>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702513</t>
  </si>
  <si>
    <t>PRŮRAZ ZDIVEM (PŘÍČKOU) ZDĚNÝM TLOUŠŤKY PŘES 60 CM</t>
  </si>
  <si>
    <t>1. Položka obsahuje:
– veškerý montážní a pomocný materiál
– pomocné mechanismy
2. Položka neobsahuje:
X
3. Způsob měření:
Udává se počet kusů kompletní konstrukce nebo práce.</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</si>
  <si>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</si>
  <si>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</si>
  <si>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</si>
  <si>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709210</t>
  </si>
  <si>
    <t>KŘIŽOVATKA KABELOVÝCH VEDENÍ SE STÁVAJÍCÍ INŽENÝRSKOU SÍTÍ (KABELEM, POTRUBÍM APOD.)</t>
  </si>
  <si>
    <t>711112</t>
  </si>
  <si>
    <t>IZOLACE BĚŽNÝCH KONSTRUKCÍ PROTI ZEMNÍ VLHKOSTI ASFALTOVÝMI PÁSY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</si>
  <si>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</si>
  <si>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</si>
  <si>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</si>
  <si>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</si>
  <si>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t>
  </si>
  <si>
    <t>Elektroinstalace - silnoproud</t>
  </si>
  <si>
    <t>744231</t>
  </si>
  <si>
    <t>KABELOVÁ SKŘÍŇ VENKOVNÍ SPOLEČNÁ PŘÍSTROJOVÁ PRO PŘEJEZDY</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</si>
  <si>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</si>
  <si>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75A</t>
  </si>
  <si>
    <t>Zabezpečovací zařízení - kabelové soubory</t>
  </si>
  <si>
    <t>75A217</t>
  </si>
  <si>
    <t>ZATAŽENÍ A SPOJKOVÁNÍ KABELŮ DO 12 PÁRŮ - MONTÁŽ</t>
  </si>
  <si>
    <t>KMPÁR</t>
  </si>
  <si>
    <t>3*(30+45+45+90+80+90+80) = 1380,000 [A]_x000D_
 6*(3*30) = 540,000 [B]_x000D_
 (a+b)/1000 = 1,920 [C]</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</si>
  <si>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</si>
  <si>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</si>
  <si>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</si>
  <si>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1.920000 = 1,920 [A]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</si>
  <si>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</si>
  <si>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</si>
  <si>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</si>
  <si>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24*(200) = 4800,000 [A]_x000D_
 48*(360+30+50) = 21120,000 [B]_x000D_
 (a+b)/1000 = 25,920 [C]</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</si>
  <si>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</si>
  <si>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</si>
  <si>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</si>
  <si>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</si>
  <si>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</si>
  <si>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</si>
  <si>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</si>
  <si>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</si>
  <si>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</si>
  <si>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75A410</t>
  </si>
  <si>
    <t>OZNAČENÍ KABELŮ ZNAČKOVACÍ KABELOVOU OBJÍMKOU</t>
  </si>
  <si>
    <t>26.000000 = 26,000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</si>
  <si>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</si>
  <si>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</si>
  <si>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</si>
  <si>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</si>
  <si>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</si>
  <si>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</si>
  <si>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</si>
  <si>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</si>
  <si>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</si>
  <si>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</si>
  <si>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</si>
  <si>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</si>
  <si>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</si>
  <si>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</si>
  <si>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RM u DK, RD u St2</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</si>
  <si>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</si>
  <si>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75B361</t>
  </si>
  <si>
    <t>KOLEJOVÁ DESKA - DODÁVKA</t>
  </si>
  <si>
    <t>1. Položka obsahuje:
 – dodání kompletního (max. 10 souborů) vnitřního zařízení podle typu určeného položkou včetně potřebného pomocného materiálu a jeho dopravy na místo určení
 – pořízení kolejové desky včetně pomocného materiálu a její dopravy do místa určení
2. Položka neobsahuje:
 X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</si>
  <si>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</si>
  <si>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</si>
  <si>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</si>
  <si>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75B367</t>
  </si>
  <si>
    <t>KOLEJOVÁ DESKA - MONTÁŽ</t>
  </si>
  <si>
    <t>1. Položka obsahuje:
 – usazení kolejové desky na místo určení, zapojení
 – montáž dodaného zařízení se všemi pomocnými a doplňujícími pracemi a součástmi, případné použití mechanizmů
2. Položka neobsahuje:
 X
3. Způsob měření:
Udává se počet kusů kompletní konstrukce nebo práce.</t>
  </si>
  <si>
    <t>75C</t>
  </si>
  <si>
    <t>Železniční zabezpečovací zařízení - venkovní zařízení</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</si>
  <si>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</si>
  <si>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</si>
  <si>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</si>
  <si>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</si>
  <si>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</si>
  <si>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</si>
  <si>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</si>
  <si>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</si>
  <si>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</si>
  <si>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R75C898</t>
  </si>
  <si>
    <t>ANULAČNÍ SOUBOR - DEMONTÁŽ</t>
  </si>
  <si>
    <t>1. Položka obsahuje:
 – demontáž kompletní sady anulačního souboru
 – naložení vybouraného materiálu na dopravní prostředek
 – odvoz vybouraného materiálu do skladu nebo na likvidaci
2. Položka neobsahuje:
3. Způsob měření:
Udává se počet sad, které se skládají z předepsaných dílů, jež tvoří požadovaný celek.</t>
  </si>
  <si>
    <t>R75C919</t>
  </si>
  <si>
    <t>SNÍMAČ POČÍTAČE NÁPRAV - zkušební měrka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</si>
  <si>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</si>
  <si>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R75C93</t>
  </si>
  <si>
    <t>Skříň s počítači náprav - montáž</t>
  </si>
  <si>
    <t>1. Položka obsahuje:
Montáž skříně s  počítači náprav, zapojení, přezkoušení. Položka obsahuje všechny náklady na montáž skříně s  počítači náprav se všemi pomocnými a doplňujícími pracemi a součástmi, případné použití mechanizmů, včetně dopravy ze skladu k místu montáže, náklady na mzdy.
2. Položka neobsahuje:
 X
3. Způsob měření:
Udává se počet kusů kompletní konstrukce nebo práce za jeden úsek.</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</si>
  <si>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</si>
  <si>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</si>
  <si>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</si>
  <si>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2</t>
  </si>
  <si>
    <t>DODÁVKA SKŘÍNĚ S POČÍTAČI NÁPRAV VYSTROJENÉ (1 ÚSEK/4 BODY)</t>
  </si>
  <si>
    <t>3</t>
  </si>
  <si>
    <t>DODÁVKA SKŘÍNĚ S POČÍTAČI NÁPRAV VYSTROJENÉ (1 ÚSEK/5 BODY)</t>
  </si>
  <si>
    <t>75D</t>
  </si>
  <si>
    <t>Železniční zabezpečovací zařízení - PZZ a ostatní traťové prvky</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</si>
  <si>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</si>
  <si>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</si>
  <si>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</si>
  <si>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</si>
  <si>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</si>
  <si>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</si>
  <si>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75E</t>
  </si>
  <si>
    <t>Ostatní práce a zařízení</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</si>
  <si>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</si>
  <si>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</si>
  <si>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</si>
  <si>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</si>
  <si>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</si>
  <si>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</si>
  <si>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</si>
  <si>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</si>
  <si>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</si>
  <si>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</si>
  <si>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</si>
  <si>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</si>
  <si>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</si>
  <si>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75I</t>
  </si>
  <si>
    <t>Úložná vedení</t>
  </si>
  <si>
    <t>75I22X</t>
  </si>
  <si>
    <t>KABEL ZEMNÍ DVOUPLÁŠŤOVÝ BEZ PANCÍŘE PRŮMĚRU ŽÍLY 0,8 MM - MONTÁŽ</t>
  </si>
  <si>
    <t>360.000000 = 360,000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</si>
  <si>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</si>
  <si>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75I222</t>
  </si>
  <si>
    <t>KABEL ZEMNÍ DVOUPLÁŠŤOVÝ BEZ PANCÍŘE PRŮMĚRU ŽÍLY 0,8 MM DO 25XN</t>
  </si>
  <si>
    <t>KMČTYŘKA</t>
  </si>
  <si>
    <t>10*360/1000 = 3,600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</si>
  <si>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</si>
  <si>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75I91X</t>
  </si>
  <si>
    <t>OPTOTRUBKA HDPE - MONTÁŽ</t>
  </si>
  <si>
    <t>375+320+320 = 1015,000 [A]</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</si>
  <si>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</si>
  <si>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</si>
  <si>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</si>
  <si>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</si>
  <si>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</si>
  <si>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</si>
  <si>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</si>
  <si>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</si>
  <si>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</si>
  <si>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</si>
  <si>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75IF2X</t>
  </si>
  <si>
    <t>ROZPOJOVACÍ SVORKOVNICE 2/10, 2/8 -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</si>
  <si>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</si>
  <si>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</si>
  <si>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</si>
  <si>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</si>
  <si>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75IH42</t>
  </si>
  <si>
    <t>UKONČENÍ KABELU FORMA KABELOVÁ DÉLKY PŘES 0,5 M DO 25XN</t>
  </si>
  <si>
    <t>2.000000 = 2,000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</si>
  <si>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</si>
  <si>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</si>
  <si>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</si>
  <si>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</si>
  <si>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75ID21</t>
  </si>
  <si>
    <t>PLASTOVÁ ZEMNÍ KOMORA PRO ULOŽENÍ SPOJKY</t>
  </si>
  <si>
    <t>PS 02</t>
  </si>
  <si>
    <t>Přejezdové zabezpečovací zařízení v km 72,988</t>
  </si>
  <si>
    <t>03 - Stepan</t>
  </si>
  <si>
    <t>Titul Jméno Příjmení</t>
  </si>
  <si>
    <t>Vyhledání stávající kabelizace</t>
  </si>
  <si>
    <t>13193</t>
  </si>
  <si>
    <t>HLOUBENÍ JAM ZAPAŽ I NEPAŽ TŘ III</t>
  </si>
  <si>
    <t>2*0,5*0,5*1 = 0,500 [A]</t>
  </si>
  <si>
    <t>0.500000 = 0,500 [A]</t>
  </si>
  <si>
    <t>5.000000 = 5,000 [A]</t>
  </si>
  <si>
    <t>1. Položka obsahuje:
 – přípravu podkladu pro osazení
 – spojování
 – ochranný nátěr spoje dle příslušných norem
2. Položka neobsahuje:
 X
3. Způsob měření:
Udává se počet kusů kompletní konstrukce nebo práce.</t>
  </si>
  <si>
    <t>742F12</t>
  </si>
  <si>
    <t>KABEL NN NEBO VODIČ JEDNOŽÍLOVÝ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</si>
  <si>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</si>
  <si>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742G11</t>
  </si>
  <si>
    <t>KABEL NN DVOU- A TŘÍŽÍLOVÝ CU S PLASTOVOU IZOLACÍ DO 2,5 MM2</t>
  </si>
  <si>
    <t>10.000000 = 10,000 [A]</t>
  </si>
  <si>
    <t>742H12</t>
  </si>
  <si>
    <t>KABEL NN ČTYŘ- A PĚTIŽÍLOVÝ CU S PLASTOVOU IZOLACÍ OD 4 DO 16 MM2</t>
  </si>
  <si>
    <t>10+40+40 = 90,000 [A]</t>
  </si>
  <si>
    <t>742K12</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</si>
  <si>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</si>
  <si>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</si>
  <si>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t>
  </si>
  <si>
    <t>UKONČENÍ DVOU AŽ PĚTIŽÍLOVÉHO KABELU V ROZVADĚČI NEBO NA PŘÍSTROJI DO 2,5 MM2</t>
  </si>
  <si>
    <t>742L12</t>
  </si>
  <si>
    <t>UKONČENÍ DVOU AŽ PĚTIŽÍLOVÉHO KABELU V ROZVADĚČI NEBO NA PŘÍSTROJI OD 4 DO 16 MM2</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</si>
  <si>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</si>
  <si>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</si>
  <si>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</si>
  <si>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3*(50+40) = 270,000 [A]_x000D_
 7*(40+40) = 560,000 [B]_x000D_
 12*(40+40) = 960,000 [C]_x000D_
 (a+b+c)/1000 = 1,790 [D]</t>
  </si>
  <si>
    <t>1.790000 = 1,790 [A]</t>
  </si>
  <si>
    <t>12.000000 = 12,000 [A]</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</si>
  <si>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</si>
  <si>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</si>
  <si>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</si>
  <si>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</si>
  <si>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</si>
  <si>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</si>
  <si>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75B477</t>
  </si>
  <si>
    <t>KABELOVÝ ROŠT VODOROVNÝ - MONTÁŽ</t>
  </si>
  <si>
    <t>1. Položka obsahuje:
 – sestavení kabelového roštu vodorovného ocelového na místě určení
 – montáž dodaného zařízení se všemi pomocnými a doplňujícími pracemi a součástmi, případné použití mechanizmů
2. Položka neobsahuje:
 X
3. Způsob měření:
Udává se počet kusů kompletní konstrukce nebo práce.</t>
  </si>
  <si>
    <t>75B471</t>
  </si>
  <si>
    <t>KABELOVÝ ROŠT VODOROVNÝ - DODÁVKA</t>
  </si>
  <si>
    <t>1. Položka obsahuje:
 – dodání kompletního vnitřního zařízení podle typu určeného položkou včetně potřebného pomocného materiálu a jeho dopravy na místo určení
 – pořízení příslušného roštu vodorovného ocelového včetně pomocného materiálu a jeho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</si>
  <si>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</si>
  <si>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</si>
  <si>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</si>
  <si>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</si>
  <si>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</si>
  <si>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</si>
  <si>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</si>
  <si>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</si>
  <si>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</si>
  <si>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</si>
  <si>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</si>
  <si>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</si>
  <si>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75B6M1</t>
  </si>
  <si>
    <t>BEZÚDRŽBOVÁ BATERIE 24 V/260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</si>
  <si>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</si>
  <si>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</si>
  <si>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</si>
  <si>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</si>
  <si>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R75B272</t>
  </si>
  <si>
    <t>MONTÁŽ VYBAVENÍ DIAGNOSTICKÉHO A PŘENOSOVÉHO ZAŘÍZENÍ PZS</t>
  </si>
  <si>
    <t>Umístění zařízení, zapojení do technologie přejezdu, připojení na komunikační linku, přezkoušení funkce. Diagnostické zařízení se měří v kusech (ks). Položka obsahuje všechny náklady montáž diagnostiky  se všemi pomocnými a doplňujícími pracemi a součástmi, případné použití mechanizmů, náklady na mzdy.</t>
  </si>
  <si>
    <t>R75B212</t>
  </si>
  <si>
    <t>DODÁVKA VYBAVENÍ DIAGNOSTICKÉHO A PŘENOSOVÉHO ZAŘÍZENÍ PZS</t>
  </si>
  <si>
    <t>Dodání technologie,  servisního přenosného počítače a programového vybavení, spojovacího a pomocného materiálu, včetně dopravy. Diagnostické zařízení se měří v kusech (ks). Položka obsahuje všechny náklady na dodávku  vybavení pro zařízení diagnostiky se všemi pomocnými a doplňujícími pracemi a součástmi, případné použití mechanizmů, včetně dopravy ze skladu k místu montáže, náklady na mzdy</t>
  </si>
  <si>
    <t>R75B598</t>
  </si>
  <si>
    <t>Dvojdílný žebřík o sedmi stupních - DODÁVKA</t>
  </si>
  <si>
    <t>1. Položka obsahuje:
 – dodání kompletního vnitřního zařízení podle typu určeného položkou 
 – pořízení včetně pomocného materiálu a její dopravu do místa určení
2. Položka neobsahuje:
 X
3. Způsob měření:
Udává se počet kusů kompletní konstrukce nebo práce.</t>
  </si>
  <si>
    <t>R75B599</t>
  </si>
  <si>
    <t>Skříň na technickou dokumentaci - DODÁVKA</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</si>
  <si>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</si>
  <si>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</si>
  <si>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</si>
  <si>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</si>
  <si>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</si>
  <si>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skříně logiky reléového přejezdového zabezpečovacího zařízení včetně pomocného materiálu, dopravu do staveništního skladu
2. Položka neobsahuje:
 X
3. Způsob měření:
Udává se počet kusů kompletní konstrukce nebo práce.</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</si>
  <si>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</si>
  <si>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</si>
  <si>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</si>
  <si>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75D211</t>
  </si>
  <si>
    <t>VÝSTRAŽNÍK SE ZÁVOROU, 1 SKŘÍŇ - DODÁVKA</t>
  </si>
  <si>
    <t>Výstražník v LED provedení, závora s břevnovými svítilnami</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</si>
  <si>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</si>
  <si>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</si>
  <si>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</si>
  <si>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</si>
  <si>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</si>
  <si>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</si>
  <si>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</si>
  <si>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</si>
  <si>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</si>
  <si>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</si>
  <si>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R75D147</t>
  </si>
  <si>
    <t>SKŘÍŇ MÍSTNÍHO OVLÁDÁNÍ - MONTÁŽ</t>
  </si>
  <si>
    <t>1. Položka obsahuje:
 – určení místa umístění, montáž skříně venkovní dle typu dané položkou
 – montáž skříně se všemi pomocnými a doplňujícími pracemi a součástmi, případné použití mechanizmů, včetně dopravy ze skladu k místu montáže
2. Položka neobsahuje:
 X
3. Způsob měření:
Udává se počet kusů kompletní konstrukce nebo práce.</t>
  </si>
  <si>
    <t>R75D141</t>
  </si>
  <si>
    <t>SKŘÍŇ MÍSTNÍHO OVLÁDÁNÍ - DODÁVKA</t>
  </si>
  <si>
    <t>1. Položka obsahuje:
 – dodávka skříně venkovní, potřebného pomocného materiálu a dopravy do staveništního skladu
 – dodávku skříně včetně pomocného materiálu, dopravu do staveništního skladu
2. Položka neobsahuje:
 X
3. Způsob měření:
Udává se počet kusů kompletní konstrukce nebo práce.</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</si>
  <si>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</si>
  <si>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</si>
  <si>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</si>
  <si>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 Položka obsahuje:
 – protokol autorizovanou osobou podle požadavku ČSN, včetně hodnocení
2. Položka neobsahuje:
 X
3. Způsob měření:
Udává se počet kusů kompletní konstrukce nebo práce.</t>
  </si>
  <si>
    <t>75I221</t>
  </si>
  <si>
    <t>KABEL ZEMNÍ DVOUPLÁŠŤOVÝ BEZ PANCÍŘE PRŮMĚRU ŽÍLY 0,8 MM DO 5XN</t>
  </si>
  <si>
    <t>5*(10)/1000 = 0,050 [A]_x000D_
Celkové množství = 0,050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</si>
  <si>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</si>
  <si>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75IE11</t>
  </si>
  <si>
    <t>SKŘÍŇ ROZVODNÁ DO 20 PÁRŮ</t>
  </si>
  <si>
    <t>součást SPP</t>
  </si>
  <si>
    <t>75IECX</t>
  </si>
  <si>
    <t>VENKOVNÍ TELEFONNÍ OBJEKT - MONTÁŽ</t>
  </si>
  <si>
    <t>75IEC3</t>
  </si>
  <si>
    <t>VENKOVNÍ TELEFONNÍ OBJEKT NA OBJEKTU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</si>
  <si>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</si>
  <si>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9</t>
  </si>
  <si>
    <t>Ostatní práce</t>
  </si>
  <si>
    <t>914113</t>
  </si>
  <si>
    <t>DOPRAVNÍ ZNAČKY ZÁKLADNÍ VELIKOSTI OCELOVÉ NEREFLEXNÍ - DEMONTÁŽ</t>
  </si>
  <si>
    <t>Položka zahrnuje odstranění, demontáž a odklizení materiálu s odvozem na předepsané místo</t>
  </si>
  <si>
    <t>914161</t>
  </si>
  <si>
    <t>DOPRAVNÍ ZNAČKY ZÁKLADNÍ VELIKOSTI HLINÍKOVÉ FÓLIE TŘ 1 - DODÁVKA A MONTÁŽ</t>
  </si>
  <si>
    <t>položka zahrnuje:
- dodávku a montáž značek v požadovaném provedení</t>
  </si>
  <si>
    <t>R914119</t>
  </si>
  <si>
    <t>DOPRAV ZNAČKY - NÁJEMNÉ</t>
  </si>
  <si>
    <t>SADA</t>
  </si>
  <si>
    <t>položka zahrnuje sazbu za pronájem dopravních značek a zařízení, počet jednotek je určen jako součin počtu značek a počtu dní použití</t>
  </si>
  <si>
    <t>PS 03</t>
  </si>
  <si>
    <t>Přejezdové zabezpečovací zařízení v km 0,301</t>
  </si>
  <si>
    <t>3*0,5*0,5*1 = 0,750 [A]</t>
  </si>
  <si>
    <t>50+70 = 120,000 [A]</t>
  </si>
  <si>
    <t>3*(85+50) = 405,000 [A]_x000D_
 7*(50+70) = 840,000 [B]_x000D_
 12*(80+50+10) = 1680,000 [C]_x000D_
 (a+b+c)/1000 = 2,925 [D]</t>
  </si>
  <si>
    <t>2.925000 = 2,925 [A]</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</si>
  <si>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</si>
  <si>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</si>
  <si>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</si>
  <si>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R75D221</t>
  </si>
  <si>
    <t>VÝSTRAŽNÍK BEZ ZÁVORY, 1 SKŘÍŇ - DODÁVKA</t>
  </si>
  <si>
    <t>v LED provedení</t>
  </si>
  <si>
    <t>1. Položka obsahuje:
 – dodávka výstražníku bez závory 1 skříň podle jeho typu a potřebného pomocného materiálu a dopravy do staveništního skladu
 – dodávku výstražníku bez závory 1 skříň včetně pomocného materiálu, dopravu do místa určení
2. Položka neobsahuje:
 X
3. Způsob měření:
Udává se počet kusů kompletní konstrukce nebo práce.</t>
  </si>
  <si>
    <t>75D257</t>
  </si>
  <si>
    <t>MECHANICKÁ ZÁVORA - MONTÁŽ</t>
  </si>
  <si>
    <t>1. Položka obsahuje:
 – výkop jámy pro betonový základ
 – usazení betonového základu, montáž mechanické závory
 – montáž mechanické závory se všemi pomocnými a doplňujícími pracemi a součástmi, případné použití mechanizmů, včetně dopravy ze skladu k místu montáže
2. Položka neobsahuje:
 X
3. Způsob měření:
Udává se počet kusů kompletní konstrukce nebo práce.</t>
  </si>
  <si>
    <t>75D251</t>
  </si>
  <si>
    <t>MECHANICKÁ ZÁVORA - DODÁVKA</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</si>
  <si>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</si>
  <si>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R923462</t>
  </si>
  <si>
    <t>NÁVĚST Demontáž</t>
  </si>
  <si>
    <t>1. Položka obsahuje:
2. Položka neobsahuje:
3. Způsob měření:
Udává se počet kusů kompletní konstrukce nebo práce.</t>
  </si>
  <si>
    <t>R923491</t>
  </si>
  <si>
    <t>STANIČNÍK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</si>
  <si>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3. Způsob měření:
Udává se počet kusů kompletní konstrukce nebo práce.</t>
  </si>
  <si>
    <t>923341</t>
  </si>
  <si>
    <t>RYCHLOSTNÍK N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</si>
  <si>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</si>
  <si>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SO 01-1.1</t>
  </si>
  <si>
    <t>Následná úprava koleje</t>
  </si>
  <si>
    <t>D.2.1.1</t>
  </si>
  <si>
    <t>5</t>
  </si>
  <si>
    <t>Komunikace pozemní</t>
  </si>
  <si>
    <t>513550</t>
  </si>
  <si>
    <t>KOLEJOVÉ LOŽE - DOPLNĚNÍ Z KAMENIVA HRUBÉHO DRCENÉHO (ŠTĚRK)</t>
  </si>
  <si>
    <t>"76.913*3.8*0.05{5% z celkové figury} =Výsledek A"</t>
  </si>
  <si>
    <t>1. Položka obsahuje:
 – dodávku, dopravu a uložení kameniva předepsané specifikace a frakce v požadované míře zhutnění
2. Položka neobsahuje:
 X
3. Způsob měření:
Měří se objem kolejového lože v projektovaném profilu.</t>
  </si>
  <si>
    <t>542312</t>
  </si>
  <si>
    <t>NÁSLEDNÁ ÚPRAVA SMĚROVÉHO A VÝŠKOVÉHO USPOŘÁDÁNÍ KOLEJE - PRAŽCE BETONOVÉ</t>
  </si>
  <si>
    <t>"(73.035396-72.958483)*1000 =Výsledek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</si>
  <si>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</si>
  <si>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Ostatní konstrukce a práce, bourání</t>
  </si>
  <si>
    <t>965311R</t>
  </si>
  <si>
    <t>ROZEBRÁNÍ A SLOŽENÍ PŘEJEZDU, PŘECHODU Z DÍLCŮ</t>
  </si>
  <si>
    <t>Rozebrání i složení přejezdové konstrukce pouze pro průjezd ASP pro následné podbití</t>
  </si>
  <si>
    <t>&lt;vv&gt;&lt;r&gt;&lt;t&gt;&lt;/t&gt;&lt;/r&gt;&lt;/vv&gt; 26.000000 = 26,000 [A]</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</si>
  <si>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</si>
  <si>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OST</t>
  </si>
  <si>
    <t>Ostatní</t>
  </si>
  <si>
    <t>3720</t>
  </si>
  <si>
    <t>POMOC PRÁCE ZAJIŠŤ NEBO ZŘÍZ REGULACI A OCHRANU DOPRAVY</t>
  </si>
  <si>
    <t>regulace silniční dopravy během průjezdu podbíječky</t>
  </si>
  <si>
    <t>&lt;vv&gt;&lt;r&gt;&lt;t&gt;&lt;/t&gt;&lt;/r&gt;&lt;/vv&gt; 1.000000 = 1,000 [A]</t>
  </si>
  <si>
    <t>zahrnuje objednatelem povolené náklady na požadovaná zařízení zhotovitele</t>
  </si>
  <si>
    <t>SO 01-1</t>
  </si>
  <si>
    <t>Železniční svršek v km 72,988</t>
  </si>
  <si>
    <t>512560</t>
  </si>
  <si>
    <t>KOLEJOVÉ LOŽE - ZŘÍZENÍ Z KAMENIVA HRUBÉHO RECYKLOVANÉHO</t>
  </si>
  <si>
    <t>"56.882 =Výsledek A"</t>
  </si>
  <si>
    <t>513560</t>
  </si>
  <si>
    <t>KOLEJOVÉ LOŽE - DOPLNĚNÍ Z KAMENIVA HRUBÉHO RECYKLOVANÉHO</t>
  </si>
  <si>
    <t>Doplnění 20%  po podbití pro dosažení předepsaného profilu</t>
  </si>
  <si>
    <t>"56.882*0.2 =Výsledek A"</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</si>
  <si>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</si>
  <si>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528131</t>
  </si>
  <si>
    <t>KOLEJ 49 E1, ROZD. "C", BEZSTYKOVÁ, PR. BET. PODKLADNICOVÝ, UP. TUHÉ</t>
  </si>
  <si>
    <t>"26.84 =Výsledek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</si>
  <si>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</si>
  <si>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</si>
  <si>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</si>
  <si>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"(73.035396-72.958483)*1000*2{dva průjezdy} =Výsledek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</si>
  <si>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</si>
  <si>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</si>
  <si>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</si>
  <si>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"{výh 21 a 20} (16.7+60.4+15.5)*2{dva průjezdy} =Výsledek A"</t>
  </si>
  <si>
    <t>545121</t>
  </si>
  <si>
    <t>SVAR KOLEJNIC (STEJNÉHO TVARU) 49 E1, T JEDNOTLIVĚ</t>
  </si>
  <si>
    <t>&lt;vv&gt;&lt;r&gt;&lt;t&gt;&lt;/t&gt;&lt;/r&gt;&lt;/vv&gt; 4.000000 = 4,000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</si>
  <si>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</si>
  <si>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</si>
  <si>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</si>
  <si>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"153.826/2 =Výsledek A"</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</si>
  <si>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</si>
  <si>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549312</t>
  </si>
  <si>
    <t>ZRUŠENÍ A ZNOVUZŘÍZENÍ BEZSTYKOVÉ KOLEJE NA NEDEMONTOVANÝCH ÚSECÍCH VE VÝHYBCE</t>
  </si>
  <si>
    <t>"185.2/2 =Výsledek A"</t>
  </si>
  <si>
    <t>921930</t>
  </si>
  <si>
    <t>ANTIKOROZNÍ PROVEDENÍ UPEVŇOVADEL A JINÉHO DROBNÉHO KOLEJIVA</t>
  </si>
  <si>
    <t>&lt;vv&gt;&lt;r&gt;&lt;t&gt;&lt;/t&gt;&lt;/r&gt;&lt;/vv&gt; 7.800000 = 7,800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</si>
  <si>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</si>
  <si>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923941</t>
  </si>
  <si>
    <t>ZAJIŠŤOVACÍ ZNAČKA KONZOLOVÁ (K) VČETNĚ OCELOVÉHO SLOUPKU</t>
  </si>
  <si>
    <t>&lt;vv&gt;&lt;r&gt;&lt;t&gt;&lt;/t&gt;&lt;/r&gt;&lt;/vv&gt; 5.000000 = 5,000 [A]</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</si>
  <si>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</si>
  <si>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</si>
  <si>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</si>
  <si>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"{plocha v řezu}2.1193*26.84 =Výsledek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</si>
  <si>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</si>
  <si>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</si>
  <si>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</si>
  <si>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</si>
  <si>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"56.882*10{Bruntál} =Výsledek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</si>
  <si>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</si>
  <si>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965123</t>
  </si>
  <si>
    <t>DEMONTÁŽ KOLEJE NA DŘEVĚNÝCH PRAŽCÍCH DO KOLEJOVÝCH POLÍ S ODVOZEM NA MONTÁŽNÍ ZÁKLADNU S NÁSLEDNÝM ROZEBRÁNÍM</t>
  </si>
  <si>
    <t>kovový odpad bude předaný investorovi</t>
  </si>
  <si>
    <t>"(73.035396-73.008556)*1000 =Výsledek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</si>
  <si>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</si>
  <si>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965126</t>
  </si>
  <si>
    <t>DEMONTÁŽ KOLEJE NA DŘEVĚNÝCH PRAŽCÍCH - ODVOZ ROZEBRANÝCH SOUČÁSTÍ (Z MÍSTA DEMONTÁŽE NEBO Z MONTÁŽNÍ ZÁKLADNY) K LIKVIDACI</t>
  </si>
  <si>
    <t>TKM</t>
  </si>
  <si>
    <t>"26.84/0.667*0.08{hmotnost pražců}*12{Horní Benešov} =Výsledek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</si>
  <si>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</si>
  <si>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R015150</t>
  </si>
  <si>
    <t>90</t>
  </si>
  <si>
    <t>POPLATKY ZA LIKVIDACI ODPADŮ NEKONTAMINOVANÝCH - 17 05 08  ŠTĚRK Z KOLEJIŠTĚ (ODPAD PO RECYKLACI) VČETNĚ DOPRAVY</t>
  </si>
  <si>
    <t>T</t>
  </si>
  <si>
    <t>Evidenční položka</t>
  </si>
  <si>
    <t>"56.882*1.8 =Výsledek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</si>
  <si>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</si>
  <si>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R015260</t>
  </si>
  <si>
    <t>POPLATKY ZA LIKVIDACI ODPADŮ NEKONTAMINOVANÝCH - 07 02 99  PRYŽOVÉ PODLOŽKY (ŽEL. SVRŠEK) VČETNĚ DOPRAVY</t>
  </si>
  <si>
    <t>"26.84/0.667*2*(0.163/1000){podložky pod patou} =Výsledek A | 26.84/0.667*2*(0.09/1000){podložky pod podkladnicí} =Výsledek B"</t>
  </si>
  <si>
    <t>R015520</t>
  </si>
  <si>
    <t>POPLATKY ZA LIKVIDACI ODPADŮ NEBEZPEČNÝCH - 17 02 04*  ŽELEZNIČNÍ PRAŽCE DŘEVĚNÉ VČETNĚ DOPRAVY</t>
  </si>
  <si>
    <t>"26.84/0.667*0.08 =Výsledek A"</t>
  </si>
  <si>
    <t>SO 01-2.1</t>
  </si>
  <si>
    <t>"182.049*2.0*0.05{5% z celkové figury} =Výsledek A"</t>
  </si>
  <si>
    <t>542313</t>
  </si>
  <si>
    <t>NÁSLEDNÁ ÚPRAVA SMĚROVÉHO A VÝŠKOVÉHO USPOŘÁDÁNÍ KOLEJE - PRAŽCE OCELOVÉ TVARU "Y"</t>
  </si>
  <si>
    <t>"359.049-177 =Výsledek A"</t>
  </si>
  <si>
    <t>&lt;vv&gt;&lt;r&gt;&lt;t&gt;&lt;/t&gt;&lt;/r&gt;&lt;/vv&gt; 30.600000 = 30,600 [A]</t>
  </si>
  <si>
    <t>SO 01-2</t>
  </si>
  <si>
    <t>Železniční svršek v km 0,301</t>
  </si>
  <si>
    <t>"67.181 =Výsledek A"</t>
  </si>
  <si>
    <t>Doplnění po podbíjení, 20%</t>
  </si>
  <si>
    <t>"67.181*0.2 =Výsledek A"</t>
  </si>
  <si>
    <t>528362R</t>
  </si>
  <si>
    <t>KOLEJ 49 E1, ROZD. "U", BEZSTYKOVÁ, PR. BET. BEZPODKLADNICOVÝ UŽITÝ, UP. PRUŽNÉ</t>
  </si>
  <si>
    <t>Pouze zpětná montáž kolejového roštu, indexace 30%</t>
  </si>
  <si>
    <t>"15.636 =Výsledek A"</t>
  </si>
  <si>
    <t>5289E2R</t>
  </si>
  <si>
    <t>KOLEJ 49 E1, "L", BEZSTYKOVÁ, OCELOVÝ Y, UP. PRUŽNÉ</t>
  </si>
  <si>
    <t>Kolejový rošt dodá objednatel - indexace 50%</t>
  </si>
  <si>
    <t>"21.687 =Výsledek A"</t>
  </si>
  <si>
    <t>"288.392-177 =Výsledek A | 111.392*2 {dva průjezdy} =Výsledek B"</t>
  </si>
  <si>
    <t>542141</t>
  </si>
  <si>
    <t>SMĚROVÉ A VÝŠKOVÉ VYROVNÁNÍ KOLEJE NA PRAŽCÍCH OCELOVÝCH Y DO 0,05 M</t>
  </si>
  <si>
    <t>"359.049-288.392 =Výsledek A | 70.657*2 {dva průjezdy} =Výsledek B"</t>
  </si>
  <si>
    <t>"{vyh 17 a 16} 58+16.6+16.6 =Výsledek A | 91.2*2 {dva průjezdy} =Výsledek B"</t>
  </si>
  <si>
    <t>&lt;vv&gt;&lt;r&gt;&lt;t&gt;&lt;/t&gt;&lt;/r&gt;&lt;/vv&gt; 6.000000 = 6,000 [A]</t>
  </si>
  <si>
    <t>"111.392+70.657 =Výsledek A"</t>
  </si>
  <si>
    <t>"1.8{plocha v řezu}*(21.687+15.636) =Výsledek A"</t>
  </si>
  <si>
    <t>"67.181*10{bruntál} =Výsledek A"</t>
  </si>
  <si>
    <t>965112</t>
  </si>
  <si>
    <t>DEMONTÁŽ KOLEJE NA BETONOVÝCH PRAŽCÍCH DO KOLEJOVÝCH POLÍ S ODVOZEM NA MONTÁŽNÍ ZÁKLADNU BEZ NÁSLEDNÉHO ROZEBRÁNÍ</t>
  </si>
  <si>
    <t>"288.392-272.756 =Výsledek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</si>
  <si>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</si>
  <si>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"(310.079-288.392) =Výsledek A"</t>
  </si>
  <si>
    <t>"2.601*12{Horní Benešov} =Výsledek A"</t>
  </si>
  <si>
    <t>965144</t>
  </si>
  <si>
    <t>DEMONTÁŽ KOLEJE NA OCELOVÝCH PRAŽCÍCH Y ROZEBRÁNÍM DO SOUČÁSTÍ</t>
  </si>
  <si>
    <t>rozebrání koleje na posledních stávajících Y pražcích před přejezdem (proti směru staničení)</t>
  </si>
  <si>
    <t>&lt;vv&gt;&lt;r&gt;&lt;t&gt;&lt;/t&gt;&lt;/r&gt;&lt;/vv&gt; 3.000000 = 3,000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</si>
  <si>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</si>
  <si>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"67.181*1.8 =Výsledek A"</t>
  </si>
  <si>
    <t>"21.687/0.667*0.08 =Výsledek A"</t>
  </si>
  <si>
    <t>SO 02-1</t>
  </si>
  <si>
    <t>Železniční spodek v km 72,988</t>
  </si>
  <si>
    <t>123836</t>
  </si>
  <si>
    <t>ODKOP PRO SPOD STAVBU SILNIC A ŽELEZNIC TŘ. II, ODVOZ DO 12KM</t>
  </si>
  <si>
    <t>"2.4{plocha v řezu}*((73.025756-73.008556)*1000) =Výsledek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</si>
  <si>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</si>
  <si>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Zakládání</t>
  </si>
  <si>
    <t>21197</t>
  </si>
  <si>
    <t>OPLÁŠTĚNÍ ODVODŇOVACÍCH ŽEBER Z GEOTEXTILIE</t>
  </si>
  <si>
    <t>"{délka žebra} 13.1*{střední obvod opláštění} 3.3 =Výsledek A"</t>
  </si>
  <si>
    <t>položka zahrnuje dodávku předepsané geotextilie, mimostaveništní a vnitrostaveništní dopravu a její uložení včetně potřebných přesahů (nezapočítávají se do výměry)</t>
  </si>
  <si>
    <t>212636</t>
  </si>
  <si>
    <t>TRATIVODY KOMPL Z TRUB Z PLAST HM DN DO 150MM, RÝHA TŘ II</t>
  </si>
  <si>
    <t>"{svodné potrubí} 17.5+2.8 =Výsledek A | {trativod} 13.1 =Výsledek B | {Celkem: }A+B =Výsledek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</si>
  <si>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</si>
  <si>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501101</t>
  </si>
  <si>
    <t>ZŘÍZENÍ KONSTRUKČNÍ VRSTVY TĚLESA ŽELEZNIČNÍHO SPODKU ZE ŠTĚRKODRTI NOVÉ</t>
  </si>
  <si>
    <t>"41.28 =Výsledek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</si>
  <si>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</si>
  <si>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8</t>
  </si>
  <si>
    <t>Trubní vedení</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</si>
  <si>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</si>
  <si>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</si>
  <si>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</si>
  <si>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R015112</t>
  </si>
  <si>
    <t>POPLATKY ZA LIKVIDACI ODPADŮ NEKONTAMINOVANÝCH - 17 05 04  VYTĚŽENÉ ZEMINY A HORNINY -  II. TŘÍDA TĚŽITELNOSTI VČETNĚ DOPRAVY</t>
  </si>
  <si>
    <t>"41.28*1.8 =Výsledek A"</t>
  </si>
  <si>
    <t>SO 02-2</t>
  </si>
  <si>
    <t>Železniční spodek v km 0,301</t>
  </si>
  <si>
    <t>"2.4{plocha v řezu}*(310.079-290.479) =Výsledek A"</t>
  </si>
  <si>
    <t>"19.1*3.2 =Výsledek A"</t>
  </si>
  <si>
    <t>212646</t>
  </si>
  <si>
    <t>TRATIVODY KOMPL Z TRUB Z PLAST HM DN DO 200MM, RÝHA TŘ II</t>
  </si>
  <si>
    <t>"19.1+7.6 =Výsledek A"</t>
  </si>
  <si>
    <t>"47.04 =Výsledek A"</t>
  </si>
  <si>
    <t>&lt;vv&gt;&lt;r&gt;&lt;t&gt;&lt;/t&gt;&lt;/r&gt;&lt;/vv&gt; 2.000000 = 2,000 [A]</t>
  </si>
  <si>
    <t>"47.04*1.8 =Výsledek A"</t>
  </si>
  <si>
    <t>SO 03-1</t>
  </si>
  <si>
    <t>Přejezdová konstrukce km 72,988</t>
  </si>
  <si>
    <t>D.2.1.3</t>
  </si>
  <si>
    <t>27211</t>
  </si>
  <si>
    <t>ZÁKLADY Z DÍLCŮ BETONOVÝCH</t>
  </si>
  <si>
    <t>dodání prefabrikovaného dílce dle použité přejezdové konstrukce</t>
  </si>
  <si>
    <t>"0.3*0.45 {plocha základového bloku v řezu} =Výsledek A | 5*1.5 {(počet bloků pro délku 7,3m)}*2*0.135 =Výsledek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</si>
  <si>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</si>
  <si>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921112</t>
  </si>
  <si>
    <t>ŽELEZNIČNÍ PŘEJEZD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</si>
  <si>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</si>
  <si>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</si>
  <si>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</si>
  <si>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rozebrání přejezdu a odvoz Bruntál 10km</t>
  </si>
  <si>
    <t>965312</t>
  </si>
  <si>
    <t>ROZEBRÁNÍ PŘEJEZDU, PŘECHODU Z DÍLCŮ - ODVOZ (NA LIKVIDACI ODPADŮ NEBO JINÉ URČENÉ MÍSTO)</t>
  </si>
  <si>
    <t>"26*0.1*2*10 =Výsledek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</si>
  <si>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</si>
  <si>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SO 03-2</t>
  </si>
  <si>
    <t>Přejezdová konstrukce km 0,301</t>
  </si>
  <si>
    <t>113136</t>
  </si>
  <si>
    <t>ODSTRANĚNÍ KRYTU ZPEVNĚNÝCH PLOCH S ASFALT POJIVEM, ODVOZ DO 12KM</t>
  </si>
  <si>
    <t>"30.6*0.06 =Výsledek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</si>
  <si>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</si>
  <si>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"0.3*0.45 {plocha základového bloku v řezu} =Výsledek A | 7*1.5 {(počet bloků pro délku 9,6m)}*2*0.135 =Výsledek B"</t>
  </si>
  <si>
    <t>921113</t>
  </si>
  <si>
    <t>ŽELEZNIČNÍ PŘEJEZD CELOPRYŽOVÝ NA OCELOVÝCH PRAŽCÍCH Y</t>
  </si>
  <si>
    <t>Cena vypočtena dle nabídky firmy Vitesse spol. s.r.o. CZ 138/20 pro správu železnic</t>
  </si>
  <si>
    <t>965321</t>
  </si>
  <si>
    <t>ROZEBRÁNÍ PŘEJEZDU, PŘECHODU OSTATNÍCH</t>
  </si>
  <si>
    <t>"30.6 =Výsledek A"</t>
  </si>
  <si>
    <t>R014132</t>
  </si>
  <si>
    <t>POPLATKY ZA SKLÁDKU TYP S-NO (NEBEZPEČNÝ ODPAD) VČETNĚ DOPRAVY</t>
  </si>
  <si>
    <t>Evidenční položka_x000D_
Odpad asfaltu obsahující dehet, který obsahuje stopové množství _x000D_
benz(a)pyrenu v množství překračujícím 50 mg/kg sušiny (50 ppm) je _x000D_
nebezpečný odpad</t>
  </si>
  <si>
    <t>"1.836*2 =Výsledek A"</t>
  </si>
  <si>
    <t>zahrnuje veškeré poplatky provozovateli skládky související s uložením odpadu na skládce._x000D_
nezahrnuje náklady spojené s naložením a manipulací s materiálem.</t>
  </si>
  <si>
    <t>SO 03-3</t>
  </si>
  <si>
    <t>Přejezdová komunikace přejezdů 7566 a 7698</t>
  </si>
  <si>
    <t>D.2.1.8</t>
  </si>
  <si>
    <t>11332</t>
  </si>
  <si>
    <t>ODSTRANĚNÍ PODKLADŮ ZPEVNĚNÝCH PLOCH Z KAMENIVA NESTMELENÉHO</t>
  </si>
  <si>
    <t>"{`tlouštka 310mm, plochy ze situace`} | (59.6{vozovka}+20{krajnice})*0.31 =Výsledek A | (134{vozovka}+83{krajnice})*0.31 =Výsledek B | (56.5{vozovka}+20{krajnice})*0.31 =Výsledek C | {Celkem: }A+B+C =Výsledek D"</t>
  </si>
  <si>
    <t>11332B</t>
  </si>
  <si>
    <t>ODSTRANĚNÍ PODKLADŮ ZPEVNĚNÝCH PLOCH Z KAMENIVA NESTMELENÉHO - DOPRAVA</t>
  </si>
  <si>
    <t>"{odvoz bruntál 10km, obj. hm 1,8} 115.661*1.8*10 =Výsledek A"</t>
  </si>
  <si>
    <t>Položka zahrnuje samostatnou dopravu suti a vybouraných hmot. Množství se určí jako součin hmotnosti [t] a požadované vzdálenosti [km].</t>
  </si>
  <si>
    <t>113726</t>
  </si>
  <si>
    <t>FRÉZOVÁNÍ ZPEVNĚNÝCH PLOCH ASFALTOVÝCH, ODVOZ DO 12KM</t>
  </si>
  <si>
    <t>"{`plochy ze situace, tloušťka 60mm, odvoz Horní Benešov 12km`} | {vozovka směr Nové Heřminovy} (61.2+60)*0.06 =Výsledek A | {vozovka mezi přejezdy} 134*0.06 =Výsledek B | {vozovka směr ŽST} (57+89.75)*0.06 =Výsledek C | {Celkem: }A+B+C =Výsledek D"</t>
  </si>
  <si>
    <t>4</t>
  </si>
  <si>
    <t>Vodorovné konstrukce</t>
  </si>
  <si>
    <t>45131</t>
  </si>
  <si>
    <t>PODKL A VÝPLŇ VRSTVY Z PROST BET</t>
  </si>
  <si>
    <t>"{podkladní beton odv. žlabu, min C25/30, dle podmínek výrobce} (((0.4+0.7+0.4))*0.15)*6.0 =Výsledek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</si>
  <si>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</si>
  <si>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56335</t>
  </si>
  <si>
    <t>VOZOVKOVÉ VRSTVY ZE ŠTĚRKODRTI TL. DO 250MM</t>
  </si>
  <si>
    <t>"115.661/0.31 =Výsledek A"</t>
  </si>
  <si>
    <t>- dodání kameniva předepsané kvality a zrnitosti
- rozprostření a zhutnění vrstvy v předepsané tloušťce
- zřízení vrstvy bez rozlišení šířky, pokládání vrstvy po etapách
- nezahrnuje postřiky, nátěry</t>
  </si>
  <si>
    <t>56360</t>
  </si>
  <si>
    <t>VOZOVKOVÉ VRSTVY Z RECYKLOVANÉHO MATERIÁLU</t>
  </si>
  <si>
    <t>"{plochy ze situace, tl. 60mm}(56.4+134+60)*0.06 =Výsledek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</si>
  <si>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</si>
  <si>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56960R</t>
  </si>
  <si>
    <t>ZPEVNĚNÍ KRAJNIC Z RECYKLOVANÉHO MATERIÁLU</t>
  </si>
  <si>
    <t>-materiál převzatý z SO 03-4, uvažována indexace 50%</t>
  </si>
  <si>
    <t>"{plochy z výkresu, tloušťka 0,1m} (49+35+20+17+14+18)*0.1 =Výsledek A"</t>
  </si>
  <si>
    <t>572212</t>
  </si>
  <si>
    <t>SPOJOVACÍ POSTŘIK Z MODIFIK ASFALTU DO 0,5KG/M2</t>
  </si>
  <si>
    <t>"15.024/0.06 =Výsledek A | 401.95 =Výsledek B"</t>
  </si>
  <si>
    <t>- dodání všech předepsaných materiálů pro postřiky v předepsaném množství
- provedení dle předepsaného technologického předpisu
- zřízení vrstvy bez rozlišení šířky, pokládání vrstvy po etapách
- úpravu napojení, ukončení</t>
  </si>
  <si>
    <t>574A55</t>
  </si>
  <si>
    <t>ASFALTOVÝ BETON PRO OBRUSNÉ VRSTVY ACO 16 TL. 60MM</t>
  </si>
  <si>
    <t>"24.117/0.06 =Výsledek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</si>
  <si>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</si>
  <si>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577A2</t>
  </si>
  <si>
    <t>VÝSPRAVA TRHLIN ASFALTOVOU ZÁLIVKOU MODIFIK</t>
  </si>
  <si>
    <t>"{napojení na stav} 3.6+3.9 =Výsledek A | {napojení odv. žlabu} 2*6.5 =Výsledek B | {napojení závěrných zídek} 4.7+4.5+5.6+5.9 =Výsledek C | {Celkem: }A+B+C =Výsledek D"</t>
  </si>
  <si>
    <t>- vyfrézování drážky šířky do 20mm hloubky do 40mm
- vyčištění
- nátěr
- výplň předepsanou zálivkovou hmotou</t>
  </si>
  <si>
    <t>897526</t>
  </si>
  <si>
    <t>VPUSŤ ODVOD ŽLABŮ Z BETON DÍLCŮ SV. ŠÍŘKY DO 400MM</t>
  </si>
  <si>
    <t>dílec 1,50x0,70x0,60m</t>
  </si>
  <si>
    <t>položka zahrnuje dodávku a osazení předepsaného dílce včetně mříže
nezahrnuje předepsané podkladní konstrukce</t>
  </si>
  <si>
    <t>911GAR</t>
  </si>
  <si>
    <t>SVODIDLO DŘEVOOCELOVÉ, ÚROVEŇ ZADRŽ N2</t>
  </si>
  <si>
    <t>-materiál převzatý z SO 03-4, položka neobsahuje dodání svodidla samotného, ale pouze regeneraci poškozených součástí a montáž, uvažována indexace 60%</t>
  </si>
  <si>
    <t>"8.18+10.18+22.18 =Výsledek A"</t>
  </si>
  <si>
    <t>položka zahrnuje:
- kompletní dodávku všech dílů dřevoocelového svodidla s předepsanou povrchovou úpravou kovových částí a impregnačních nátěrů dřevěných částí,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nezahrnuje odrazky nebo retroreflexní fólie</t>
  </si>
  <si>
    <t>91271</t>
  </si>
  <si>
    <t>ZÁVORA MECHANICKÁ</t>
  </si>
  <si>
    <t>zahrnuje dodávku kompletního zařízení včetně nutných zemních prací a základových konstrukcí</t>
  </si>
  <si>
    <t>919112</t>
  </si>
  <si>
    <t>ŘEZÁNÍ ASFALTOVÉHO KRYTU VOZOVEK TL DO 100MM</t>
  </si>
  <si>
    <t>"3.9 =Výsledek A | 3.6 =Výsledek B"</t>
  </si>
  <si>
    <t>položka zahrnuje řezání vozovkové vrstvy v předepsané tloušťce, včetně spotřeby vody</t>
  </si>
  <si>
    <t>"24.117*2 =Výsledek A"</t>
  </si>
  <si>
    <t>"2081.898/10 =Výsledek A"</t>
  </si>
  <si>
    <t>SO 03-4</t>
  </si>
  <si>
    <t>Provizorní komunikace a DIO</t>
  </si>
  <si>
    <t>11120</t>
  </si>
  <si>
    <t>ODSTRANĚNÍ KŘOVIN</t>
  </si>
  <si>
    <t>Dřevo bude předáno investorovi v místě.</t>
  </si>
  <si>
    <t>"{plocha dle situace}9 =Výsledek A"</t>
  </si>
  <si>
    <t>odstranění křovin a stromů do průměru 100 mm
doprava dřevin bez ohledu na vzdálenost
spálení na hromadách nebo štěpkování</t>
  </si>
  <si>
    <t>11201</t>
  </si>
  <si>
    <t>KÁCENÍ STROMŮ D KMENE DO 0,5M S ODSTRANĚNÍM PAŘEZŮ</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</si>
  <si>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</si>
  <si>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11313A</t>
  </si>
  <si>
    <t>ODSTRANĚNÍ KRYTU ZPEVNĚNÝCH PLOCH S ASFALTOVÝM POJIVEM - BEZ DOPRAVY</t>
  </si>
  <si>
    <t>"{odtěžení R-mat z povrchu provizorní komunikace} 25.395 =Výsledek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</si>
  <si>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</si>
  <si>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</si>
  <si>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</si>
  <si>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"{`objemová hmotnost 2t/1m3`} | {`množství odstraněného rmat ponížené o množství materiálu předaného SO 03-3 pro tvorbu nezpevněných krajnic, odvoz - recyklační dvůr Bruntál 10km`} | (25.395-(49+35+20+17+14+18)*0.1)*10*2 =Výsledek A"</t>
  </si>
  <si>
    <t>12283</t>
  </si>
  <si>
    <t>ODKOPÁVKY A PROKOPÁVKY OBECNÉ TŘ. II</t>
  </si>
  <si>
    <t>mimo figury IS_odkop (která bude znovu zasypána) bude vykopaný materiál předaný k zasypání SO 04-2</t>
  </si>
  <si>
    <t>"{ruční odkopávka IS ČD-Telematiky 154.361 Cetinu}2*30{délka}*0.3{šířka}*0.7{hloubka} =Výsledek A | {odkopávky vně koleje provizorních přejezdů}(2*3*8*0.3)+(2*3*5*0.3) =Výsledek B | {odtěžení konstrukce provizorní komunikace v místě SO 04-2, 30% rozdílu násypů 154.361 výkopů v rozmezí 0,04-0,05} (135.182-66.159)*0.3 =Výsledek C | {Celkem: }A+B+C =Výsledek D"</t>
  </si>
  <si>
    <t>12683</t>
  </si>
  <si>
    <t>ZŘÍZENÍ STUPŇŮ V PODLOŽÍ NÁSYPŮ TŘ. II</t>
  </si>
  <si>
    <t>"{zazubení násypového tělesa - z výměrnice} 220.515 =Výsledek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</si>
  <si>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</si>
  <si>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171102</t>
  </si>
  <si>
    <t>ULOŽENÍ SYPANINY DO NÁSYPŮ SE ZHUTNĚNÍM NA 96% PS</t>
  </si>
  <si>
    <t>"{zřízení násypového tělesa - z výměrnice materiál vytěžený 60% z odkopů} 220.515*00.7 =Výsledek A | {`zřízení násypového tělesa - z výměrnice materiál nakupovaný` } | {Celkem: }A =Výsledek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</si>
  <si>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</si>
  <si>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</si>
  <si>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</si>
  <si>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"{objem z výměrnice ponížený o uložení sypaniny z výkopů} 297.951-154.361 =Výsledek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</si>
  <si>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</si>
  <si>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"12.6 =Výsledek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</si>
  <si>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</si>
  <si>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18481</t>
  </si>
  <si>
    <t>OCHRANA STROMŮ BEDNĚNÍM</t>
  </si>
  <si>
    <t>ochrana kménů stromů zasažených násypovým tělesem provizorní komunikace, případně ochrana stromů ohrožených během zřizování násypové komunikace</t>
  </si>
  <si>
    <t>"5{počet stromů}*2{výška bednění}*1.5{obvod bednění} =Výsledek A"</t>
  </si>
  <si>
    <t>položka zahrnuje veškerý materiál, výrobky a polotovary, včetně mimostaveništní a vnitrostaveništní dopravy (rovněž přesuny), včetně naložení a složení, případně s uložením</t>
  </si>
  <si>
    <t>21461F</t>
  </si>
  <si>
    <t>SEPARAČNÍ GEOTEXTILIE DO 600G/M2</t>
  </si>
  <si>
    <t>Separační geotextilie pro ochranu pražců a upevnění při zřizování provizorních přejezdů.</t>
  </si>
  <si>
    <t>"{`šířka provizorní komunikace navýšená o 1m na každou stranu a délka úseku 4m na každé straně koleje, pro oba provizorní přejezdy`} | {provizorní přejezd 1. kolej} 2*(6*4) =Výsledek A | {provizorní přejezd 4. kolej} 2*(8.4*4) =Výsledek B | {Celkem: }A+B =Výsledek C"</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</si>
  <si>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</si>
  <si>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28998</t>
  </si>
  <si>
    <t>ZPEVNĚNÍ Z DŘEVIN A TRAVIN</t>
  </si>
  <si>
    <t>ochrana svahů opatřených protierozní rohoží</t>
  </si>
  <si>
    <t>"118 =Výsledek A"</t>
  </si>
  <si>
    <t>Položka zahrnuje:
- dodávku předepsaných výpěstků v předepsaném provedení
- úpravu, očištění a ochranu podkladu
- přichycení k podkladu, případně zatížení
- úpravy spojů a zajištění okrajů
- úpravy pro odvodnění
- nutné přesahy
- mimostaveništní a vnitrostaveništní dopravu</t>
  </si>
  <si>
    <t>56330</t>
  </si>
  <si>
    <t>VOZOVKOVÉ VRSTVY ZE ŠTĚRKODRTI</t>
  </si>
  <si>
    <t>"{konstrukční vrstva provizorní komunikace - z výměrnice} 106.427 =Výsledek A"</t>
  </si>
  <si>
    <t>Tloušťka 6cm</t>
  </si>
  <si>
    <t>"{povrch provizorní komunikace - z výměrnice} 25.395 =Výsledek A | {povrch rozšíření vyčkávací plochy} 161.088*0.06 =Výsledek B | {Celkem: }A+B =Výsledek C"</t>
  </si>
  <si>
    <t>572731</t>
  </si>
  <si>
    <t>DVOUVRSTVÝ ASFALTOVÝ NÁTĚR DO 1,5KG/M2</t>
  </si>
  <si>
    <t>"{vyčkávací plocha} 161.088 =Výsledek A | {plocha provizorní komunikace, z výměrnice} 413.953 =Výsledek B | {Celkem: }A+B =Výsledek C"</t>
  </si>
  <si>
    <t>- dodání všech předepsaných materiálů pro nátěry v předepsaném množství
- provedení dle předepsaného technologického předpisu
- zřízení vrstvy bez rozlišení šířky, pokládání vrstvy po etapách
- úpravu napojení, ukončení</t>
  </si>
  <si>
    <t>87445</t>
  </si>
  <si>
    <t>POTRUBÍ Z TRUB PLASTOVÝCH ODPADNÍCH DN DO 300MM</t>
  </si>
  <si>
    <t>Trubka pro vložení hadice pro čerpání přítoků do SO 04-1, trubka bude uložená bez lože do násypu SO 03-4 do hl. min. 400mm pod korunu, trubka bude odstraněna s výkopem pro zřízení SO 04-2</t>
  </si>
  <si>
    <t>&lt;vv&gt;&lt;r&gt;&lt;t&gt;&lt;/t&gt;&lt;/r&gt;&lt;/vv&gt; 13.000000 = 13,000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</si>
  <si>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</si>
  <si>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včetně demontáže pro další použití v SO 03-3 (navýšení ceny o 30%)</t>
  </si>
  <si>
    <t>"{dle situace} 48 =Výsledek A"</t>
  </si>
  <si>
    <t>91267</t>
  </si>
  <si>
    <t>ODRAZKY NA SVODIDLA</t>
  </si>
  <si>
    <t>"(48/5{odrazky s roztečí 5 metrů}) =Výsledek A | {zaokrouhleno nahoru}10 =Výsledek B"</t>
  </si>
  <si>
    <t>- kompletní dodávka se všemi pomocnými a doplňujícími pracemi a součástmi</t>
  </si>
  <si>
    <t>914122</t>
  </si>
  <si>
    <t>DOPRAVNÍ ZNAČKY ZÁKLADNÍ VELIKOSTI OCELOVÉ FÓLIE TŘ 1 - MONTÁŽ S PŘEMÍSTĚNÍM</t>
  </si>
  <si>
    <t>Dodání pronajatých dopravních značek, včetně podstavců a sloupků</t>
  </si>
  <si>
    <t>"{`doprava a montáž dočasného značení`} | {B1}3*1 =Výsledek A | {B20a} 10*1 =Výsledek B | {A22} 2*1 =Výsledek C | {B24a/0} 1+1 =Výsledek D | {A15} 3*1 =Výsledek E | {B17} 1 =Výsledek F | {A10} 3*1 =Výsledek G | {E12}1 =Výsledek H | {E13}3 =Výsledek I | {Z4a/0} 1*14 =Výsledek J | {Celkem: }A+B+C+D+E+F+G+H+I+J =Výsledek K"</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</si>
  <si>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</si>
  <si>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</si>
  <si>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</si>
  <si>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"42 =Výsledek A"</t>
  </si>
  <si>
    <t>914129</t>
  </si>
  <si>
    <t>DOPRAV ZNAČKY ZÁKLAD VEL OCEL FÓLIE TŘ 1 - NÁJEMNÉ</t>
  </si>
  <si>
    <t>KSDEN</t>
  </si>
  <si>
    <t>"8*42 =Výsledek A"</t>
  </si>
  <si>
    <t>916122</t>
  </si>
  <si>
    <t>DOPRAV SVĚTLO VÝSTRAŽ SOUPRAVA 3KS - MONTÁŽ S PŘESUNEM</t>
  </si>
  <si>
    <t>Dodání pronajatých dopravních značek, včetně kotvení a napájení</t>
  </si>
  <si>
    <t>"{2x3 S7 typ 1}2 =Výsledek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</si>
  <si>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</si>
  <si>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</si>
  <si>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</si>
  <si>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</si>
  <si>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</si>
  <si>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</si>
  <si>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"2*8 =Výsledek A"</t>
  </si>
  <si>
    <t>položka zahrnuje sazbu za pronájem zařízení. Počet měrných jednotek se určí jako součin počtu zařízení a počtu dní použití.</t>
  </si>
  <si>
    <t>916151</t>
  </si>
  <si>
    <t>SEMAFOROVÁ PŘENOSNÁ SOUPRAVA - DOD A MONTÁŽ</t>
  </si>
  <si>
    <t>Souprava musí splňovat specifikaci uvedenou v PD</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</si>
  <si>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</si>
  <si>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</si>
  <si>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</si>
  <si>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916159</t>
  </si>
  <si>
    <t>SEMAFOROVÁ PŘENOSNÁ SOUPRAVA - NÁJEMNÉ</t>
  </si>
  <si>
    <t>"{1 kus x 6 dní} 1*6 =Výsledek A"</t>
  </si>
  <si>
    <t>921111R</t>
  </si>
  <si>
    <t>ŽELEZNIČNÍ PŘEJEZD CELOPRYŽOVÝ NA DŘEVĚNÝCH PRAŽCÍCH</t>
  </si>
  <si>
    <t>Pouze vnitřní panely z užitého materiálu objednatele, cena ponížena o 50%, cena obsahuje dodání nových spojovacích tyčí, náběhových klínů a kotvících táhel</t>
  </si>
  <si>
    <t>"{provizorní přejezd 1. kolej délky 5*1,2m} 1.5*(1.2*5) =Výsledek A"</t>
  </si>
  <si>
    <t>921112R</t>
  </si>
  <si>
    <t>"{provizorní přejezd na 4. koleji délky 7*1,2m} 1.5*(1.2*7) =Výsledek A"</t>
  </si>
  <si>
    <t>93883</t>
  </si>
  <si>
    <t>OŠETŘENÍ KONSTRUKCÍ ZAKRYTÍM ROHOŽEMI</t>
  </si>
  <si>
    <t>Použití protierozní rohože min. 400g/m2 z přírodního materiálu (např. kokosová rohož) včetně předepsaného kotvícího materiálu a montáže</t>
  </si>
  <si>
    <t>"{výměra ze situace} 118 =Výsledek A"</t>
  </si>
  <si>
    <t>Položka zahrnuje veškerý materiál, výrobky a polotovary, včetně mimostaveništní a vnitrostaveništní dopravy (rovněž přesuny), včetně naložení a složení,případně s uložením.</t>
  </si>
  <si>
    <t>"{provizorní přejezd 1. kolej} 9 =Výsledek A | {provizorní přejezd 4. kolej} 12.6 =Výsledek B | {Celkem: }A+B =Výsledek C"</t>
  </si>
  <si>
    <t>Odvoz zpět na určené místo objednatelem</t>
  </si>
  <si>
    <t>"{provizorní přejezd 1. kolej, hmotnost jednoho panelu 1,2 je 270kg} 5*0.270 =Výsledek A | {provizorní přejezd 4. kolej, hmotnost jednoho panelu 1,2 je 270kg} 7*0.270 =Výsledek B | {Odvoz na základnu ST Ostrava 78km} (1.35+1.89)*78 =Výsledek C"</t>
  </si>
  <si>
    <t>R015130</t>
  </si>
  <si>
    <t>POPLATKY ZA LIKVIDACI ODPADŮ NEKONTAMINOVANÝCH - 17 03 02  VYBOURANÝ ASFALTOVÝ BETON BEZ DEHTU VČETNĚ DOPRAVY</t>
  </si>
  <si>
    <t>"201.9/10 =Výsledek A"</t>
  </si>
  <si>
    <t>03720R</t>
  </si>
  <si>
    <t>OSHOD</t>
  </si>
  <si>
    <t>Kyvadlové řízení silniční dopravy po částečném odstranění provizorní komunikace při spuštěném provozu dráhy na přejezdu P7566</t>
  </si>
  <si>
    <t>"{dva dny x 24 hodin x dvě osoby} 2*24*2 =Výsledek A"</t>
  </si>
  <si>
    <t>03730R</t>
  </si>
  <si>
    <t>POMOC PRÁCE ZAJIŠŤ NEBO ZŘÍZ OCHRANU INŽENÝRSKÝCH SÍTÍ</t>
  </si>
  <si>
    <t>Ochrana a případné přeložení inž. sítí kolizních s SO 03-4 a SO 04-2; sítě ČD-Telematika a CETIN, bez rozpojení, je předpokládané ruční odkopání (není součástí položky), přeložení do vyšší nivelety (v rámci SO 03-4) a při relizaci SO 04-2 převěšování a ochrana a poté uložení v původní trase.</t>
  </si>
  <si>
    <t>SO 04-1</t>
  </si>
  <si>
    <t>Silniční propustek</t>
  </si>
  <si>
    <t>D.2.1.4</t>
  </si>
  <si>
    <t>"80 {ve svahu odkopaného příkopu} =Výsledek A"</t>
  </si>
  <si>
    <t>11130</t>
  </si>
  <si>
    <t>SEJMUTÍ DRNU</t>
  </si>
  <si>
    <t>"70+30 {CAD výměry} =Výsledek A"</t>
  </si>
  <si>
    <t>včetně vodorovné dopravy  a uložení na skládku</t>
  </si>
  <si>
    <t>11512</t>
  </si>
  <si>
    <t>ČERPÁNÍ VODY DO 1000 L/MIN</t>
  </si>
  <si>
    <t>&lt;vv&gt;&lt;r&gt;&lt;t&gt;&lt;/t&gt;&lt;/r&gt;&lt;/vv&gt; 150.000000 = 150,000 [A]</t>
  </si>
  <si>
    <t>Položka čerpání vody na povrchu zahrnuje i potrubí, pohotovost záložní čerpací soupravy a zřízení čerpací jímky. Součástí položky je také následná demontáž a likvidace těchto zařízení</t>
  </si>
  <si>
    <t>12110</t>
  </si>
  <si>
    <t>SEJMUTÍ ORNICE NEBO LESNÍ PŮDY</t>
  </si>
  <si>
    <t>"100 {travní drny} =Výsledek A | 80 {lesní hrabanka} =Výsledek B | {Celkem: }A+B =Výsledek C"</t>
  </si>
  <si>
    <t>položka zahrnuje sejmutí ornice bez ohledu na tloušťku vrstvy a její vodorovnou dopravu
nezahrnuje uložení na trvalou skládku</t>
  </si>
  <si>
    <t>12273A</t>
  </si>
  <si>
    <t>ODKOPÁVKY A PROKOPÁVKY OBECNÉ TŘ. I - BEZ DOPRAVY</t>
  </si>
  <si>
    <t>"58 {CAD výpočet} =Výsledek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</si>
  <si>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</si>
  <si>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</si>
  <si>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</si>
  <si>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"115.4 {CAD výměra} =Výsledek A"</t>
  </si>
  <si>
    <t>13273B</t>
  </si>
  <si>
    <t>HLOUBENÍ RÝH ŠÍŘ DO 2M PAŽ I NEPAŽ TŘ. I - DOPRAVA</t>
  </si>
  <si>
    <t>"(115.4+58-29.7)*10 {10km} =Výsledek A"</t>
  </si>
  <si>
    <t>Položka zahrnuje samostatnou dopravu zeminy. Množství se určí jako součin kubatutry [m3] a požadované vzdálenosti [km].</t>
  </si>
  <si>
    <t>171101</t>
  </si>
  <si>
    <t>ULOŽENÍ SYPANINY DO NÁSYPŮ SE ZHUTNĚNÍM DO 95% PS</t>
  </si>
  <si>
    <t>rozšíření zemního tělesa přejezdové komunikace po drážní příkop z odkopaného výzisku</t>
  </si>
  <si>
    <t>"29.70 {CAD výměra} =Výsledek A"</t>
  </si>
  <si>
    <t>17581</t>
  </si>
  <si>
    <t>OBSYP POTRUBÍ A OBJEKTŮ Z NAKUPOVANÝCH MATERIÁLŮ</t>
  </si>
  <si>
    <t>"67.14 {obsyp po vrstvách po zemní pláň} =Výsledek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</si>
  <si>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</si>
  <si>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18221</t>
  </si>
  <si>
    <t>ROZPROSTŘENÍ ORNICE VE SVAHU V TL DO 0,10M</t>
  </si>
  <si>
    <t>"150 {CAD výměra} =Výsledek A"</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</si>
  <si>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</si>
  <si>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</si>
  <si>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</si>
  <si>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</si>
  <si>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Základy a zvláštní zakládání</t>
  </si>
  <si>
    <t>272314</t>
  </si>
  <si>
    <t>ZÁKLADY Z PROSTÉHO BETONU DO C25/30</t>
  </si>
  <si>
    <t>"0.333+0.339 {CAD výměry} =Výsledek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</si>
  <si>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</si>
  <si>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272324</t>
  </si>
  <si>
    <t>ZÁKLADY ZE ŽELEZOBETONU DO C25/30</t>
  </si>
  <si>
    <t>"2.797 {základový pás} =Výsledek A | 2*0.730 {zesílení základu u vtoku a výtoku} =Výsledek B | {Celkem: }A+B =Výsledek C"</t>
  </si>
  <si>
    <t>272365</t>
  </si>
  <si>
    <t>VÝZTUŽ ZÁKLADŮ Z OCELI 10505, B500B</t>
  </si>
  <si>
    <t>&lt;vv&gt;&lt;r&gt;&lt;t&gt;&lt;/t&gt;&lt;/r&gt;&lt;/vv&gt; 0.062000 = 0,062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</si>
  <si>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</si>
  <si>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</si>
  <si>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</si>
  <si>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&lt;vv&gt;&lt;r&gt;&lt;t&gt;&lt;/t&gt;&lt;/r&gt;&lt;/vv&gt; 0.118000 = 0,118 [A]</t>
  </si>
  <si>
    <t>451313</t>
  </si>
  <si>
    <t>PODKLADNÍ A VÝPLŇOVÉ VRSTVY Z PROSTÉHO BETONU C16/20</t>
  </si>
  <si>
    <t>"4.871+1.026 {na vtoku+na výtoku+skluz} =Výsledek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</si>
  <si>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</si>
  <si>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"1.78 {CAD výměra} =Výsledek A"</t>
  </si>
  <si>
    <t>465512</t>
  </si>
  <si>
    <t>DLAŽBY Z LOMOVÉHO KAMENE NA MC</t>
  </si>
  <si>
    <t>"7.08+1.33 {na vtoku+na výtoku} =Výsledek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</si>
  <si>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</si>
  <si>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62</t>
  </si>
  <si>
    <t>Úpravy povrchů vnější</t>
  </si>
  <si>
    <t>62947</t>
  </si>
  <si>
    <t>VYROVNÁVACÍ VRSTVA ZE ZVLÁŠT MALTY</t>
  </si>
  <si>
    <t>zacelení spár ŽB trub</t>
  </si>
  <si>
    <t>&lt;vv&gt;&lt;r&gt;&lt;t&gt;&lt;/t&gt;&lt;/r&gt;&lt;/vv&gt; 3.340000 = 3,340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</si>
  <si>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</si>
  <si>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t>
  </si>
  <si>
    <t>Izolace proti vodě</t>
  </si>
  <si>
    <t>711131</t>
  </si>
  <si>
    <t>IZOLACE BĚŽNÝCH KONSTRUKCÍ PROTI VOLNĚ STÉKAJÍCÍ VODĚ ASFALTOVÝMI NÁTĚRY</t>
  </si>
  <si>
    <t>"45.491 {CAD výměra} =Výsledek A"</t>
  </si>
  <si>
    <t>9183E2-R</t>
  </si>
  <si>
    <t>PROPUSTY Z TRUB DN 800MM ŽELEZOBETONOVÝCH</t>
  </si>
  <si>
    <t>&lt;vv&gt;&lt;r&gt;&lt;t&gt;&lt;/t&gt;&lt;/r&gt;&lt;/vv&gt; 11.900000 = 11,900 [A]</t>
  </si>
  <si>
    <t>Položka zahrnuje:
- dodání a položení potrubí z trub z dokumentací předepsaného materiálu a předepsaného průměru
- případné úpravy trub (zkrácení, šikmé seříznutí)
Nezahrnuje podkladní vrstvy a obetonování.</t>
  </si>
  <si>
    <t>935232</t>
  </si>
  <si>
    <t>PŘÍKOPOVÉ ŽLABY Z BETON TVÁRNIC ŠÍŘ DO 1200MM DO BETONU TL 100MM</t>
  </si>
  <si>
    <t>&lt;vv&gt;&lt;r&gt;&lt;t&gt;&lt;/t&gt;&lt;/r&gt;&lt;/vv&gt; 23.500000 = 23,500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</si>
  <si>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</si>
  <si>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93620-R</t>
  </si>
  <si>
    <t>DROBNÉ DOPLŇK KONSTR PREFABRIK BETON A ŽELEZOBETON</t>
  </si>
  <si>
    <t>bločky s letopočty</t>
  </si>
  <si>
    <t>"0.29*0.14*0.065 {dl*š*tl} =Výsledek A"</t>
  </si>
  <si>
    <t>R015111</t>
  </si>
  <si>
    <t>POPLATKY ZA LIKVIDACI ODPADŮ NEKONTAMINOVANÝCH - 17 05 04  VYTĚŽENÉ ZEMINY A HORNINY -  I. TŘÍDA TĚŽITELNOSTI VČETNĚ DOPRAVY</t>
  </si>
  <si>
    <t>"(115.4+58)*2.0 {Objem*ObjHm} =Výsledek A"</t>
  </si>
  <si>
    <t>SO 04-2</t>
  </si>
  <si>
    <t>Železniční propustek</t>
  </si>
  <si>
    <t>"30 {ve svahu zemního tělesa} =Výsledek A"</t>
  </si>
  <si>
    <t>"43 {CAD výměra} =Výsledek A"</t>
  </si>
  <si>
    <t>"43 {travní drny} =Výsledek A | 30 {lesní hrabanka} =Výsledek B | {Celkem: }A+B =Výsledek C"</t>
  </si>
  <si>
    <t>"12*3.0 {pro vybourání  propustku} =Výsledek A"</t>
  </si>
  <si>
    <t>"173.4 {CAD výměra} =Výsledek A"</t>
  </si>
  <si>
    <t>"(173.4+36)*10 {10km} =Výsledek A"</t>
  </si>
  <si>
    <t>finální nadsyp vpravo koleje</t>
  </si>
  <si>
    <t>"20.09 {CAD výměra} =Výsledek A"</t>
  </si>
  <si>
    <t>zásyp jámy po vybouraném propustku z vhodné zeminy frakce max. 125mm</t>
  </si>
  <si>
    <t>"17.26+36+0.60*(1.00-0.30)*11.67 {Objem výkopů - Objem ZKPP} =Výsledek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</si>
  <si>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</si>
  <si>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</si>
  <si>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</si>
  <si>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"56.71 {obsyp po vrstvách po zemní pláň} =Výsledek A | 3.93 {zásyp pro uzavření kolejového lože vlevo koleje} =Výsledek B | {Celkem: }A+B =Výsledek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</si>
  <si>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</si>
  <si>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</si>
  <si>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</si>
  <si>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drcený šterk frakce 8/16</t>
  </si>
  <si>
    <t>"0.39 {obnova drážní stezky vlevo koleje} =Výsledek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</si>
  <si>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</si>
  <si>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"54 {CAD výměra} =Výsledek A"</t>
  </si>
  <si>
    <t>"3.267 {základový pás} =Výsledek A | 2*0.730 {zesílení základu u vtoku a výtoku} =Výsledek B | {Celkem: }A+B =Výsledek C"</t>
  </si>
  <si>
    <t>&lt;vv&gt;&lt;r&gt;&lt;t&gt;&lt;/t&gt;&lt;/r&gt;&lt;/vv&gt; 0.135000 = 0,135 [A]</t>
  </si>
  <si>
    <t>"1.221+1.457+2.502 {na vtoku+na výtoku+skluz} =Výsledek A"</t>
  </si>
  <si>
    <t>"2.08 {CAD výměra} =Výsledek A"</t>
  </si>
  <si>
    <t>"1.27+1.43 {na vtoku+na výtoku} =Výsledek A"</t>
  </si>
  <si>
    <t>467513</t>
  </si>
  <si>
    <t>BALVANITÝ SKLUZ Z LOMOVÉHO KAMENE</t>
  </si>
  <si>
    <t>"3.80 {CAD výměra} =Výsledek A"</t>
  </si>
  <si>
    <t>Položka zahrnuje dodávku lomového kamene předepsané frakce a jeho uložení do předepsaného tvaru včetně mimostaveništní a vnitrostaveništní dopravy
není-li v zadávací dokumentaci uvedeno jinak, jedná se o nakupovaný materiál
- nezahrnuje podkladní vrstvy skluzu, vykazují se položkami SD 45</t>
  </si>
  <si>
    <t>Komunikace</t>
  </si>
  <si>
    <t>"15.53 {vrstva žel. spodku v délce 8m} =Výsledek A"</t>
  </si>
  <si>
    <t>"53.386 {CAD výměra} =Výsledek A"</t>
  </si>
  <si>
    <t>&lt;vv&gt;&lt;r&gt;&lt;t&gt;&lt;/t&gt;&lt;/r&gt;&lt;/vv&gt; 13.900000 = 13,900 [A]</t>
  </si>
  <si>
    <t>966136</t>
  </si>
  <si>
    <t>BOURÁNÍ KONSTRUKCÍ Z KAMENE NA MC S ODVOZEM DO 12KM</t>
  </si>
  <si>
    <t>"17.260 {CAD výměra} =Výsledek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</si>
  <si>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</si>
  <si>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"(173.4+36)*2.0 {Objem*ObjHm} =Výsledek A"</t>
  </si>
  <si>
    <t>R015330</t>
  </si>
  <si>
    <t>POPLATKY ZA LIKVIDACI ODPADŮ NEKONTAMINOVANÝCH - 17 05 04  KAMENNÁ SUŤ VČETNĚ DOPRAVY</t>
  </si>
  <si>
    <t>"17.26*2.5 =Výsledek A"</t>
  </si>
  <si>
    <t>SO 05</t>
  </si>
  <si>
    <t>Reléový domek v km 72,988</t>
  </si>
  <si>
    <t>D.2.2.1</t>
  </si>
  <si>
    <t>R027121</t>
  </si>
  <si>
    <t>PŘÍSTUPOVÉ CESTY - ZŘÍZENÍ</t>
  </si>
  <si>
    <t>Přístupová cesta k RD a úpravy okolí RD</t>
  </si>
  <si>
    <t>zahrnuje veškeré náklady spojené s objednatelem požadovanými zařízeními</t>
  </si>
  <si>
    <t>0,5*0,5*1*6 = 1,500 [A]</t>
  </si>
  <si>
    <t>18214</t>
  </si>
  <si>
    <t>ÚPRAVA POVRCHŮ SROVNÁNÍM ÚZEMÍ V TL DO 0,25M</t>
  </si>
  <si>
    <t>Základy</t>
  </si>
  <si>
    <t>272124</t>
  </si>
  <si>
    <t>ZÁKLADY Z DÍLCŮ ŽELEZOBETONOVÝCH DO C25/30</t>
  </si>
  <si>
    <t>0,5*0,5*1*4 = 1,000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</si>
  <si>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</si>
  <si>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</si>
  <si>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</si>
  <si>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</si>
  <si>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</si>
  <si>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</si>
  <si>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</si>
  <si>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</si>
  <si>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</si>
  <si>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</si>
  <si>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R75D161</t>
  </si>
  <si>
    <t>RELÉOVÝ DOMEK (DO 9 M2) PREFABRIKOVANÝ, IZOLOVANÝ A VNITŘNÍ KABELIZACÍ - DODÁVKA</t>
  </si>
  <si>
    <t>1. Položka obsahuje:
 – dodávka reléového domku prefabrikovaného, izolovaného a vnitřní kabelizací, doprava do staveništního skladu
 – dodávku reléového domku prefabrikovaného, izolovaného a vnitřní kabelizací včetně pomocného materiálu, dopravu do staveništního skladu
2. Položka neobsahuje:
 X
3. Způsob měření:
Udává se počet kusů kompletní konstrukce nebo práce.</t>
  </si>
  <si>
    <t>SO 06</t>
  </si>
  <si>
    <t>Elektrická přípojka PZZ</t>
  </si>
  <si>
    <t>D.2.3.6</t>
  </si>
  <si>
    <t>vyhledání stávající kabelové trasy</t>
  </si>
  <si>
    <t>13293A</t>
  </si>
  <si>
    <t>HLOUBENÍ RÝH ŠÍŘ DO 2M PAŽ I NEPAŽ TŘ. III - BEZ DOPRAVY</t>
  </si>
  <si>
    <t>4*0,35*0,8 = 1,120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</si>
  <si>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</si>
  <si>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</si>
  <si>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</si>
  <si>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</si>
  <si>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702221</t>
  </si>
  <si>
    <t>KABELOVÁ CHRÁNIČKA ZEMNÍ UV STABILNÍ DN DO 100 MM</t>
  </si>
  <si>
    <t>1. Položka obsahuje:
 – obnovu a výměnu poškozených krytů
 – pomocné mechanismy
2. Položka neobsahuje:
 X
3. Způsob měření:
Měří se metr délkový.</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</si>
  <si>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</si>
  <si>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</si>
  <si>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</si>
  <si>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702710</t>
  </si>
  <si>
    <t>ODDĚLENÍ KABELŮ VE VÝKOPU CIHLOU</t>
  </si>
  <si>
    <t>703721</t>
  </si>
  <si>
    <t>KABELOVÁ PŘÍCHYTKA PRO ROZSAH UPNUTÍ DO 25 MM</t>
  </si>
  <si>
    <t>1. Položka obsahuje:
 – přípravu podkladu pro osazení
2. Položka neobsahuje:
 X
3. Způsob měření:
Měří se metr délkový.</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</si>
  <si>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</si>
  <si>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</si>
  <si>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</si>
  <si>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</si>
  <si>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</si>
  <si>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</si>
  <si>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741C01</t>
  </si>
  <si>
    <t>EKVIPOTENCIÁLNÍ PŘÍPOJNICE</t>
  </si>
  <si>
    <t>742F13</t>
  </si>
  <si>
    <t>KABEL NN NEBO VODIČ JEDNOŽÍLOVÝ CU S PLASTOVOU IZOLACÍ OD 25 DO 50 MM2</t>
  </si>
  <si>
    <t>742H13</t>
  </si>
  <si>
    <t>KABEL NN ČTYŘ- A PĚTIŽÍLOVÝ CU S PLASTOVOU IZOLACÍ OD 25 DO 50 MM2</t>
  </si>
  <si>
    <t>1. Položka obsahuje:
– manipulace a uložení kabelu (do země, chráničky, kanálu, na rošty, na TV a pod.)
2. Položka neobsahuje:
– příchytky, spojky, koncovky, chráničky apod.
3. Způsob měření:
Měří se metr délkový.</t>
  </si>
  <si>
    <t>742K13</t>
  </si>
  <si>
    <t>UKONČENÍ JEDNOŽÍLOVÉHO KABELU V ROZVADĚČI NEBO NA PŘÍSTROJI OD 25 DO 50 MM2</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</si>
  <si>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</si>
  <si>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</si>
  <si>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</si>
  <si>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</si>
  <si>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</si>
  <si>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</si>
  <si>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</si>
  <si>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</si>
  <si>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</si>
  <si>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744611</t>
  </si>
  <si>
    <t>JISTIČ JEDNOPÓLOVÝ (10 KA) DO 2 A</t>
  </si>
  <si>
    <t>1. Položka obsahuje:
– veškerý spojovací materiál vč. připojovacího vedení
– technický popis viz. projektová dokumentace
2. Položka neobsahuje:
X
3. Způsob měření:
Udává se počet kusů kompletní konstrukce nebo práce.</t>
  </si>
  <si>
    <t>744633</t>
  </si>
  <si>
    <t>JISTIČ TŘÍPÓLOVÝ (10 KA) OD 13 DO 20 A</t>
  </si>
  <si>
    <t>1. Položka obsahuje:
 – veškerý spojovací materiál vč. připojovacího vedení
 – technický popis viz. projektová dokumentace
2. Položka neobsahuje:
 X
3. Způsob měření:
Udává se počet kusů kompletní konstrukce nebo práce.</t>
  </si>
  <si>
    <t>744634</t>
  </si>
  <si>
    <t>JISTIČ TŘÍPÓLOVÝ (10 KA) OD 25 DO 40 A</t>
  </si>
  <si>
    <t>744811</t>
  </si>
  <si>
    <t>PROUDOVÝ CHRÁNIČ DVOUPÓLOVÝ S NADPROUDOVOU OCHRANOU (10 KA) DO 30 MA, DO 25 A</t>
  </si>
  <si>
    <t>744C01</t>
  </si>
  <si>
    <t>POMOCNÝ SPÍNAČ K MODULÁRNÍMU PŘÍSTROJI DO 125 A</t>
  </si>
  <si>
    <t>744C02</t>
  </si>
  <si>
    <t>NAPĚŤOVÁ SPOUŠŤ K MODULÁRNÍMU PŘÍSTROJI DO 125 A</t>
  </si>
  <si>
    <t>744E33</t>
  </si>
  <si>
    <t>ODPÍNAČ PRO VÁLCOVÉ POJISTKY  TŘÍPÓLOVÝ  PŘES 63 DO 125 A</t>
  </si>
  <si>
    <t>744H21</t>
  </si>
  <si>
    <t>POJISTKOVÝ SPODEK/LIŠTA PRO NOŽOVÉ POJISTKY TŘÍPÓLOVÝ  DO 160 A</t>
  </si>
  <si>
    <t>744I01</t>
  </si>
  <si>
    <t>POJISTKOVÁ VLOŽKA DO 160 A</t>
  </si>
  <si>
    <t>1. Položka obsahuje:
 – technický popis viz. projektová dokumentace
2. Položka neobsahuje:
 X
3. Způsob měření:
Udává se počet kusů kompletní konstrukce nebo práce.</t>
  </si>
  <si>
    <t>744O14</t>
  </si>
  <si>
    <t>ELEKTROMĚR</t>
  </si>
  <si>
    <t>typ ED 310.DR na DIN lištu</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</si>
  <si>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</si>
  <si>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</si>
  <si>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</si>
  <si>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</si>
  <si>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</si>
  <si>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</si>
  <si>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</si>
  <si>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744R13</t>
  </si>
  <si>
    <t>SVORKA OD 25 DO 50 MM2</t>
  </si>
  <si>
    <t>1. Položka obsahuje:
– veškeré příslušenství
– technický popis viz. projektová dokumentace
2. Položka neobsahuje:
X
3. Způsob měření:
Udává se počet kusů kompletní konstrukce nebo práce.</t>
  </si>
  <si>
    <t>744Z04</t>
  </si>
  <si>
    <t>DEMONTÁŽ POJISTKOVÉHO SYSTÉMU Z ROZVADĚČE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</si>
  <si>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</si>
  <si>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</si>
  <si>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</si>
  <si>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</si>
  <si>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</si>
  <si>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</si>
  <si>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</si>
  <si>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</si>
  <si>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</si>
  <si>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</si>
  <si>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</si>
  <si>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</si>
  <si>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</si>
  <si>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</si>
  <si>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</si>
  <si>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</si>
  <si>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</si>
  <si>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</si>
  <si>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</si>
  <si>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R744P05</t>
  </si>
  <si>
    <t>ZÁSUVKA SOKLOVÁ NA DIN-LIŠTU, 250V/16A</t>
  </si>
  <si>
    <t>W</t>
  </si>
  <si>
    <t>za  Díl</t>
  </si>
  <si>
    <t>SOPS/PR/2018/06/01</t>
  </si>
  <si>
    <t>"Rekonstrukce PZS přejezdu P7566 v km 72,988 trati Olomouc - Krnov"</t>
  </si>
  <si>
    <t>SO 98-98</t>
  </si>
  <si>
    <t>Všeobecný objekt</t>
  </si>
  <si>
    <t>SŽDC s.o.</t>
  </si>
  <si>
    <t>Dokumentace stavby</t>
  </si>
  <si>
    <t>VSEOB001</t>
  </si>
  <si>
    <t>R-položka</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</si>
  <si>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</si>
  <si>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</si>
  <si>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</si>
  <si>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</si>
  <si>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</si>
  <si>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</si>
  <si>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</si>
  <si>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</si>
  <si>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</si>
  <si>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</si>
  <si>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</si>
  <si>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</si>
  <si>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</si>
  <si>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</si>
  <si>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</si>
  <si>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</si>
  <si>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</si>
  <si>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</si>
  <si>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</si>
  <si>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</si>
  <si>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</si>
  <si>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</si>
  <si>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</si>
  <si>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</si>
  <si>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</si>
  <si>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Hlukové měření pro účely realizace stavby</t>
  </si>
  <si>
    <t>popis položky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</si>
  <si>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</si>
  <si>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Zajištění veřejných zájmu</t>
  </si>
  <si>
    <t>Technická specifikace položky</t>
  </si>
  <si>
    <t>Rekultivace</t>
  </si>
  <si>
    <t>Nájmy hrazené investorem</t>
  </si>
  <si>
    <t>Supervizor</t>
  </si>
  <si>
    <t>Ekologický dozor</t>
  </si>
  <si>
    <t>Pyrotechnický průzkum</t>
  </si>
  <si>
    <t>Biologický dozor</t>
  </si>
  <si>
    <t>Atmogeochemický průzkum</t>
  </si>
  <si>
    <t>Korozní měření</t>
  </si>
  <si>
    <t>Exkurze</t>
  </si>
  <si>
    <t>1x exkurze</t>
  </si>
  <si>
    <t>v předepsaném rozsahu dle obchodních podmínek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</si>
</sst>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Kč&quot;;\-#,##0.00\ &quot;Kč&quot;"/>
    <numFmt numFmtId="164" formatCode="#\ ###\ ###\ ###\ ##0.00\ \K\č"/>
    <numFmt numFmtId="165" formatCode="m\/yyyy"/>
    <numFmt numFmtId="166" formatCode="#,##0.000"/>
    <numFmt numFmtId="167" formatCode="#,##0.00\ &quot;Kč&quot;"/>
  </numFmts>
  <fonts count="81" x14ac:knownFonts="1">
    <font>
      <sz val="11"/>
      <color theme="1"/>
      <name val="Calibri"/>
      <family val="2"/>
      <scheme val="minor"/>
    </font>
    <font>
      <sz val="11"/>
      <color theme="1"/>
      <name val="Calibri"/>
      <family val="2"/>
      <charset val="238"/>
      <scheme val="minor"/>
    </font>
    <font>
      <sz val="8"/>
      <color theme="1"/>
      <name val="Arial"/>
      <charset val="238"/>
    </font>
    <font>
      <b/>
      <sz val="16"/>
      <color theme="1"/>
      <name val="Arial"/>
      <charset val="238"/>
    </font>
    <font>
      <b/>
      <sz val="14"/>
      <color theme="1"/>
      <name val="Arial"/>
      <charset val="238"/>
    </font>
    <font>
      <b/>
      <sz val="12"/>
      <color theme="1"/>
      <name val="Arial"/>
      <charset val="238"/>
    </font>
    <font>
      <b/>
      <sz val="11"/>
      <color theme="1"/>
      <name val="Arial"/>
      <charset val="238"/>
    </font>
    <font>
      <sz val="10"/>
      <color theme="1"/>
      <name val="Arial"/>
      <charset val="238"/>
    </font>
    <font>
      <b/>
      <sz val="10"/>
      <color theme="1"/>
      <name val="Arial"/>
      <charset val="238"/>
    </font>
    <font>
      <i/>
      <sz val="10"/>
      <color theme="1"/>
      <name val="Arial"/>
      <charset val="238"/>
    </font>
    <font>
      <b/>
      <sz val="10"/>
      <color rgb="FF000000"/>
      <name val="Calibri"/>
      <charset val="238"/>
      <scheme val="minor"/>
    </font>
    <font>
      <b/>
      <sz val="8"/>
      <color rgb="FF000000"/>
      <name val="Calibri"/>
      <charset val="238"/>
      <scheme val="minor"/>
    </font>
    <font>
      <i/>
      <sz val="8"/>
      <color theme="1"/>
      <name val="Arial Narrow"/>
      <charset val="238"/>
    </font>
    <font>
      <b/>
      <sz val="9"/>
      <color theme="1"/>
      <name val="Arial"/>
      <charset val="238"/>
    </font>
    <font>
      <b/>
      <sz val="10"/>
      <color rgb="FF000000"/>
      <name val="Arial"/>
      <charset val="238"/>
    </font>
    <font>
      <sz val="8"/>
      <color rgb="FF000000"/>
      <name val="Arial"/>
      <charset val="238"/>
    </font>
    <font>
      <b/>
      <sz val="8"/>
      <color rgb="FF000000"/>
      <name val="Arial"/>
      <charset val="238"/>
    </font>
    <font>
      <b/>
      <u/>
      <sz val="10"/>
      <color indexed="81"/>
      <name val="Calibri"/>
      <charset val="238"/>
    </font>
    <font>
      <sz val="9"/>
      <color indexed="81"/>
      <name val="Calibri"/>
      <charset val="238"/>
    </font>
    <font>
      <b/>
      <u/>
      <sz val="11"/>
      <color indexed="81"/>
      <name val="Arial"/>
      <charset val="238"/>
    </font>
    <font>
      <b/>
      <u/>
      <sz val="9"/>
      <color indexed="81"/>
      <name val="Arial"/>
      <charset val="238"/>
    </font>
    <font>
      <b/>
      <sz val="9"/>
      <color indexed="81"/>
      <name val="Arial"/>
      <charset val="238"/>
    </font>
    <font>
      <b/>
      <i/>
      <sz val="9"/>
      <color indexed="81"/>
      <name val="Arial"/>
      <charset val="238"/>
    </font>
    <font>
      <i/>
      <sz val="9"/>
      <color indexed="81"/>
      <name val="Arial"/>
      <charset val="238"/>
    </font>
    <font>
      <b/>
      <u/>
      <sz val="10"/>
      <color indexed="81"/>
      <name val="Arial"/>
      <charset val="238"/>
    </font>
    <font>
      <i/>
      <sz val="9"/>
      <color indexed="81"/>
      <name val="Calibri"/>
      <charset val="238"/>
    </font>
    <font>
      <b/>
      <i/>
      <sz val="9"/>
      <color indexed="81"/>
      <name val="Calibri"/>
      <charset val="238"/>
    </font>
    <font>
      <i/>
      <u/>
      <sz val="9"/>
      <color indexed="81"/>
      <name val="Calibri"/>
      <charset val="238"/>
    </font>
    <font>
      <b/>
      <i/>
      <u/>
      <sz val="10"/>
      <color indexed="81"/>
      <name val="Arial"/>
      <charset val="238"/>
    </font>
    <font>
      <i/>
      <sz val="10"/>
      <color indexed="81"/>
      <name val="Arial"/>
      <charset val="238"/>
    </font>
    <font>
      <sz val="10"/>
      <color indexed="81"/>
      <name val="Arial"/>
      <charset val="238"/>
    </font>
    <font>
      <b/>
      <i/>
      <sz val="10"/>
      <color indexed="81"/>
      <name val="Arial"/>
      <charset val="238"/>
    </font>
    <font>
      <sz val="9"/>
      <color indexed="81"/>
      <name val="Tahoma"/>
      <charset val="238"/>
    </font>
    <font>
      <sz val="8"/>
      <color theme="1"/>
      <name val="Arial"/>
      <family val="2"/>
      <charset val="238"/>
    </font>
    <font>
      <b/>
      <sz val="16"/>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sz val="10"/>
      <color theme="1"/>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i/>
      <sz val="8"/>
      <color theme="1"/>
      <name val="Arial Narrow"/>
      <family val="2"/>
      <charset val="238"/>
    </font>
    <font>
      <b/>
      <sz val="9"/>
      <color theme="1"/>
      <name val="Arial"/>
      <family val="2"/>
      <charset val="238"/>
    </font>
    <font>
      <b/>
      <sz val="10"/>
      <color rgb="FF000000"/>
      <name val="Arial"/>
      <family val="2"/>
      <charset val="238"/>
    </font>
    <font>
      <sz val="8"/>
      <color rgb="FF000000"/>
      <name val="Arial"/>
      <family val="2"/>
      <charset val="238"/>
    </font>
    <font>
      <b/>
      <sz val="8"/>
      <color rgb="FF000000"/>
      <name val="Arial"/>
      <family val="2"/>
      <charset val="238"/>
    </font>
    <font>
      <b/>
      <u/>
      <sz val="10"/>
      <color indexed="81"/>
      <name val="Calibri"/>
      <family val="2"/>
      <charset val="238"/>
    </font>
    <font>
      <sz val="9"/>
      <color indexed="81"/>
      <name val="Calibri"/>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i/>
      <u/>
      <sz val="10"/>
      <color indexed="81"/>
      <name val="Arial"/>
      <family val="2"/>
      <charset val="238"/>
    </font>
    <font>
      <i/>
      <sz val="10"/>
      <color indexed="81"/>
      <name val="Arial"/>
      <family val="2"/>
      <charset val="238"/>
    </font>
    <font>
      <sz val="10"/>
      <color indexed="81"/>
      <name val="Arial"/>
      <family val="2"/>
      <charset val="238"/>
    </font>
    <font>
      <b/>
      <i/>
      <sz val="10"/>
      <color indexed="81"/>
      <name val="Arial"/>
      <family val="2"/>
      <charset val="238"/>
    </font>
    <font>
      <sz val="9"/>
      <color indexed="81"/>
      <name val="Tahoma"/>
      <family val="2"/>
      <charset val="238"/>
    </font>
    <font>
      <i/>
      <sz val="6"/>
      <color theme="1"/>
      <name val="Arial"/>
      <family val="2"/>
      <charset val="238"/>
    </font>
    <font>
      <b/>
      <sz val="8"/>
      <color rgb="FFDF572D"/>
      <name val="Arial"/>
      <family val="2"/>
      <charset val="238"/>
    </font>
    <font>
      <b/>
      <sz val="14"/>
      <color theme="8" tint="-0.249977111117893"/>
      <name val="Arial"/>
      <family val="2"/>
      <charset val="238"/>
    </font>
    <font>
      <b/>
      <sz val="11"/>
      <color theme="8" tint="-0.249977111117893"/>
      <name val="Arial"/>
      <family val="2"/>
      <charset val="238"/>
    </font>
    <font>
      <b/>
      <sz val="12"/>
      <color theme="8" tint="-0.249977111117893"/>
      <name val="Arial"/>
      <family val="2"/>
      <charset val="238"/>
    </font>
    <font>
      <b/>
      <sz val="10"/>
      <color theme="8" tint="-0.249977111117893"/>
      <name val="Arial"/>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sz val="10"/>
      <color theme="8" tint="-0.249977111117893"/>
      <name val="Arial"/>
      <family val="2"/>
      <charset val="238"/>
    </font>
    <font>
      <i/>
      <sz val="9"/>
      <color indexed="81"/>
      <name val="Tahoma"/>
      <family val="2"/>
      <charset val="238"/>
    </font>
  </fonts>
  <fills count="17">
    <fill>
      <patternFill patternType="none"/>
    </fill>
    <fill>
      <patternFill patternType="gray125"/>
    </fill>
    <fill>
      <patternFill patternType="solid">
        <fgColor rgb="FFFFFFCC"/>
      </patternFill>
    </fill>
    <fill>
      <patternFill patternType="solid">
        <fgColor rgb="FFFFFFCC"/>
        <bgColor indexed="64"/>
      </patternFill>
    </fill>
    <fill>
      <patternFill patternType="solid">
        <fgColor theme="0" tint="-4.9989318521683403E-2"/>
        <bgColor indexed="64"/>
      </patternFill>
    </fill>
    <fill>
      <gradientFill type="path" left="0.5" right="0.5" top="0.5" bottom="0.5">
        <stop position="0">
          <color theme="9" tint="0.79998168889431442"/>
        </stop>
        <stop position="1">
          <color theme="9" tint="0.39997558519241921"/>
        </stop>
      </gradientFill>
    </fill>
    <fill>
      <gradientFill type="path" left="0.5" right="0.5" top="0.5" bottom="0.5">
        <stop position="0">
          <color theme="0"/>
        </stop>
        <stop position="1">
          <color theme="4"/>
        </stop>
      </gradientFill>
    </fill>
    <fill>
      <gradientFill type="path" left="0.5" right="0.5" top="0.5" bottom="0.5">
        <stop position="0">
          <color theme="5" tint="0.79998168889431442"/>
        </stop>
        <stop position="1">
          <color theme="5" tint="0.39997558519241921"/>
        </stop>
      </gradientFill>
    </fill>
    <fill>
      <patternFill patternType="solid">
        <fgColor theme="2"/>
        <bgColor indexed="64"/>
      </patternFill>
    </fill>
    <fill>
      <patternFill patternType="solid">
        <fgColor rgb="FFDDEBF7"/>
      </patternFill>
    </fill>
    <fill>
      <patternFill patternType="solid">
        <fgColor rgb="FFFFFFFF"/>
      </patternFill>
    </fill>
    <fill>
      <patternFill patternType="solid">
        <fgColor rgb="FFFFC000"/>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theme="0"/>
        <bgColor indexed="64"/>
      </patternFill>
    </fill>
    <fill>
      <patternFill patternType="solid">
        <fgColor rgb="FFFFC000"/>
        <bgColor indexed="64"/>
      </patternFill>
    </fill>
  </fills>
  <borders count="68">
    <border>
      <left/>
      <right/>
      <top/>
      <bottom/>
      <diagonal/>
    </border>
    <border>
      <left style="thick">
        <color auto="1"/>
      </left>
      <right/>
      <top style="thick">
        <color auto="1"/>
      </top>
      <bottom/>
      <diagonal/>
    </border>
    <border>
      <left/>
      <right/>
      <top style="thick">
        <color auto="1"/>
      </top>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bottom/>
      <diagonal/>
    </border>
    <border>
      <left style="thin">
        <color rgb="FF000000"/>
      </left>
      <right style="thin">
        <color rgb="FF000000"/>
      </right>
      <top/>
      <bottom style="thin">
        <color rgb="FF000000"/>
      </bottom>
      <diagonal/>
    </border>
    <border>
      <left/>
      <right style="medium">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18">
    <xf numFmtId="0" fontId="0" fillId="0" borderId="0"/>
    <xf numFmtId="0" fontId="1" fillId="0" borderId="0"/>
    <xf numFmtId="0" fontId="14" fillId="9" borderId="0">
      <alignment horizontal="left" vertical="center" wrapText="1"/>
    </xf>
    <xf numFmtId="0" fontId="14" fillId="2" borderId="0">
      <alignment horizontal="left" vertical="center" wrapText="1"/>
    </xf>
    <xf numFmtId="0" fontId="15" fillId="10" borderId="0">
      <alignment horizontal="left" vertical="center" wrapText="1"/>
    </xf>
    <xf numFmtId="0" fontId="15" fillId="2" borderId="0">
      <alignment horizontal="left" vertical="center" wrapText="1"/>
    </xf>
    <xf numFmtId="0" fontId="16" fillId="2" borderId="0">
      <alignment horizontal="left" vertical="center" wrapText="1"/>
    </xf>
    <xf numFmtId="0" fontId="16" fillId="10" borderId="0">
      <alignment horizontal="left" vertical="center" wrapText="1"/>
    </xf>
    <xf numFmtId="0" fontId="14" fillId="11" borderId="0">
      <alignment horizontal="left" vertical="center" wrapText="1"/>
    </xf>
    <xf numFmtId="0" fontId="45" fillId="9" borderId="0">
      <alignment horizontal="left" vertical="center" wrapText="1"/>
    </xf>
    <xf numFmtId="0" fontId="45" fillId="2" borderId="0">
      <alignment horizontal="left" vertical="center" wrapText="1"/>
    </xf>
    <xf numFmtId="0" fontId="46" fillId="10" borderId="0">
      <alignment horizontal="left" vertical="center" wrapText="1"/>
    </xf>
    <xf numFmtId="0" fontId="46" fillId="2" borderId="0">
      <alignment horizontal="left" vertical="center" wrapText="1"/>
    </xf>
    <xf numFmtId="0" fontId="47" fillId="2" borderId="0">
      <alignment horizontal="left" vertical="center" wrapText="1"/>
    </xf>
    <xf numFmtId="0" fontId="47" fillId="10" borderId="0">
      <alignment horizontal="left" vertical="center" wrapText="1"/>
    </xf>
    <xf numFmtId="0" fontId="45" fillId="11" borderId="0">
      <alignment horizontal="left" vertical="center" wrapText="1"/>
    </xf>
    <xf numFmtId="0" fontId="70" fillId="0" borderId="0">
      <alignment vertical="center"/>
    </xf>
    <xf numFmtId="0" fontId="70" fillId="0" borderId="0">
      <alignment vertical="center"/>
    </xf>
  </cellStyleXfs>
  <cellXfs count="276">
    <xf numFmtId="0" fontId="0" fillId="0" borderId="0" xfId="0"/>
    <xf numFmtId="0" fontId="2" fillId="0" borderId="0" xfId="1" applyFont="1" applyAlignment="1" applyProtection="1">
      <alignment vertical="center"/>
      <protection hidden="1"/>
    </xf>
    <xf numFmtId="49" fontId="3" fillId="0" borderId="3" xfId="1" applyNumberFormat="1" applyFont="1" applyBorder="1" applyAlignment="1" applyProtection="1">
      <alignment vertical="center"/>
      <protection hidden="1"/>
    </xf>
    <xf numFmtId="0" fontId="3" fillId="0" borderId="4" xfId="1" applyFont="1" applyBorder="1" applyAlignment="1" applyProtection="1">
      <alignment vertical="center"/>
      <protection hidden="1"/>
    </xf>
    <xf numFmtId="49" fontId="3" fillId="0" borderId="5" xfId="1" applyNumberFormat="1" applyFont="1" applyBorder="1" applyAlignment="1" applyProtection="1">
      <alignment horizontal="right" vertical="center"/>
      <protection hidden="1"/>
    </xf>
    <xf numFmtId="49" fontId="4" fillId="0" borderId="7" xfId="1" applyNumberFormat="1" applyFont="1" applyBorder="1" applyAlignment="1">
      <alignment horizontal="left" vertical="top"/>
    </xf>
    <xf numFmtId="49" fontId="4" fillId="0" borderId="7" xfId="1" applyNumberFormat="1" applyFont="1" applyBorder="1" applyAlignment="1">
      <alignment vertical="top" wrapText="1"/>
    </xf>
    <xf numFmtId="49" fontId="4" fillId="3" borderId="7" xfId="1" applyNumberFormat="1" applyFont="1" applyFill="1" applyBorder="1" applyAlignment="1" applyProtection="1">
      <alignment vertical="top" wrapText="1"/>
      <protection locked="0"/>
    </xf>
    <xf numFmtId="49" fontId="4" fillId="0" borderId="7" xfId="1" applyNumberFormat="1" applyFont="1" applyBorder="1" applyAlignment="1" applyProtection="1">
      <alignment vertical="top" wrapText="1"/>
      <protection hidden="1"/>
    </xf>
    <xf numFmtId="49" fontId="4" fillId="0" borderId="8" xfId="1" applyNumberFormat="1" applyFont="1" applyBorder="1" applyAlignment="1" applyProtection="1">
      <alignment vertical="top" wrapText="1"/>
      <protection hidden="1"/>
    </xf>
    <xf numFmtId="0" fontId="5" fillId="0" borderId="9" xfId="1" applyFont="1" applyBorder="1" applyAlignment="1" applyProtection="1">
      <alignment vertical="top"/>
      <protection hidden="1"/>
    </xf>
    <xf numFmtId="0" fontId="5" fillId="0" borderId="10" xfId="1" applyFont="1" applyBorder="1" applyAlignment="1" applyProtection="1">
      <alignment vertical="top"/>
      <protection hidden="1"/>
    </xf>
    <xf numFmtId="49" fontId="6" fillId="3" borderId="10" xfId="1" applyNumberFormat="1" applyFont="1" applyFill="1" applyBorder="1" applyAlignment="1" applyProtection="1">
      <alignment vertical="top"/>
      <protection locked="0"/>
    </xf>
    <xf numFmtId="49" fontId="5" fillId="0" borderId="10" xfId="1" applyNumberFormat="1" applyFont="1" applyBorder="1" applyAlignment="1">
      <alignment vertical="top" wrapText="1"/>
    </xf>
    <xf numFmtId="49" fontId="5" fillId="3" borderId="10" xfId="1" applyNumberFormat="1" applyFont="1" applyFill="1" applyBorder="1" applyAlignment="1" applyProtection="1">
      <alignment vertical="top" wrapText="1"/>
      <protection locked="0"/>
    </xf>
    <xf numFmtId="49" fontId="5" fillId="0" borderId="10" xfId="1" applyNumberFormat="1" applyFont="1" applyBorder="1" applyAlignment="1" applyProtection="1">
      <alignment vertical="top"/>
      <protection hidden="1"/>
    </xf>
    <xf numFmtId="49" fontId="5" fillId="0" borderId="11" xfId="1" applyNumberFormat="1" applyFont="1" applyBorder="1" applyAlignment="1" applyProtection="1">
      <alignment vertical="top"/>
      <protection hidden="1"/>
    </xf>
    <xf numFmtId="0" fontId="6" fillId="5" borderId="12" xfId="1" applyFont="1" applyFill="1" applyBorder="1" applyAlignment="1" applyProtection="1">
      <alignment vertical="center"/>
      <protection hidden="1"/>
    </xf>
    <xf numFmtId="0" fontId="6" fillId="6" borderId="4" xfId="1" applyFont="1" applyFill="1" applyBorder="1" applyAlignment="1" applyProtection="1">
      <alignment vertical="center"/>
      <protection hidden="1"/>
    </xf>
    <xf numFmtId="49" fontId="8" fillId="3" borderId="10" xfId="1" applyNumberFormat="1" applyFont="1" applyFill="1" applyBorder="1" applyAlignment="1" applyProtection="1">
      <alignment vertical="center" wrapText="1"/>
      <protection locked="0"/>
    </xf>
    <xf numFmtId="0" fontId="8" fillId="0" borderId="10" xfId="1" applyFont="1" applyBorder="1" applyAlignment="1" applyProtection="1">
      <alignment vertical="center" wrapText="1"/>
      <protection hidden="1"/>
    </xf>
    <xf numFmtId="49" fontId="8" fillId="0" borderId="10" xfId="1" applyNumberFormat="1" applyFont="1" applyBorder="1" applyAlignment="1" applyProtection="1">
      <alignment vertical="center" wrapText="1"/>
      <protection locked="0"/>
    </xf>
    <xf numFmtId="49" fontId="8" fillId="0" borderId="15" xfId="1" applyNumberFormat="1" applyFont="1" applyBorder="1" applyAlignment="1" applyProtection="1">
      <alignment vertical="center" wrapText="1"/>
      <protection locked="0"/>
    </xf>
    <xf numFmtId="0" fontId="8" fillId="3" borderId="18" xfId="1" applyFont="1" applyFill="1" applyBorder="1" applyAlignment="1" applyProtection="1">
      <alignment vertical="center"/>
      <protection locked="0"/>
    </xf>
    <xf numFmtId="0" fontId="8" fillId="3" borderId="19" xfId="1" applyFont="1" applyFill="1" applyBorder="1" applyAlignment="1" applyProtection="1">
      <alignment horizontal="left" vertical="center"/>
      <protection locked="0"/>
    </xf>
    <xf numFmtId="0" fontId="7" fillId="0" borderId="9" xfId="1" applyFont="1" applyBorder="1" applyAlignment="1" applyProtection="1">
      <alignment vertical="center"/>
      <protection hidden="1"/>
    </xf>
    <xf numFmtId="0" fontId="7" fillId="0" borderId="10" xfId="1" applyFont="1" applyBorder="1" applyAlignment="1" applyProtection="1">
      <alignment vertical="center"/>
      <protection hidden="1"/>
    </xf>
    <xf numFmtId="49" fontId="8" fillId="3" borderId="10" xfId="1" applyNumberFormat="1" applyFont="1" applyFill="1" applyBorder="1" applyAlignment="1" applyProtection="1">
      <alignment vertical="center"/>
      <protection locked="0"/>
    </xf>
    <xf numFmtId="0" fontId="8" fillId="0" borderId="21" xfId="1" applyFont="1" applyBorder="1" applyAlignment="1" applyProtection="1">
      <alignment vertical="center"/>
      <protection locked="0"/>
    </xf>
    <xf numFmtId="0" fontId="10" fillId="0" borderId="0" xfId="1" applyFont="1" applyAlignment="1">
      <alignment horizontal="center"/>
    </xf>
    <xf numFmtId="165" fontId="8" fillId="3" borderId="22" xfId="1" applyNumberFormat="1" applyFont="1" applyFill="1" applyBorder="1" applyAlignment="1" applyProtection="1">
      <alignment horizontal="left" vertical="center"/>
      <protection locked="0"/>
    </xf>
    <xf numFmtId="0" fontId="8" fillId="3" borderId="10" xfId="1" applyFont="1" applyFill="1" applyBorder="1" applyAlignment="1" applyProtection="1">
      <alignment vertical="center"/>
      <protection locked="0"/>
    </xf>
    <xf numFmtId="0" fontId="11" fillId="0" borderId="0" xfId="1" applyFont="1" applyAlignment="1">
      <alignment horizontal="center"/>
    </xf>
    <xf numFmtId="165" fontId="8" fillId="3" borderId="26" xfId="1" applyNumberFormat="1" applyFont="1" applyFill="1" applyBorder="1" applyAlignment="1" applyProtection="1">
      <alignment horizontal="left" vertical="center"/>
      <protection locked="0"/>
    </xf>
    <xf numFmtId="165" fontId="7" fillId="3" borderId="27" xfId="1" applyNumberFormat="1" applyFont="1" applyFill="1" applyBorder="1" applyAlignment="1" applyProtection="1">
      <alignment horizontal="left" vertical="center" wrapText="1"/>
      <protection locked="0"/>
    </xf>
    <xf numFmtId="14" fontId="8" fillId="3" borderId="28" xfId="1" applyNumberFormat="1" applyFont="1" applyFill="1" applyBorder="1" applyAlignment="1" applyProtection="1">
      <alignment vertical="center"/>
      <protection locked="0"/>
    </xf>
    <xf numFmtId="14" fontId="8" fillId="0" borderId="29" xfId="1" applyNumberFormat="1" applyFont="1" applyBorder="1" applyAlignment="1" applyProtection="1">
      <alignment vertical="center"/>
      <protection locked="0"/>
    </xf>
    <xf numFmtId="0" fontId="12" fillId="8" borderId="31" xfId="1" applyFont="1" applyFill="1" applyBorder="1" applyAlignment="1" applyProtection="1">
      <alignment horizontal="right" vertical="center"/>
      <protection hidden="1"/>
    </xf>
    <xf numFmtId="3" fontId="12" fillId="8" borderId="32" xfId="1" applyNumberFormat="1" applyFont="1" applyFill="1" applyBorder="1" applyAlignment="1" applyProtection="1">
      <alignment horizontal="left" vertical="center"/>
      <protection hidden="1"/>
    </xf>
    <xf numFmtId="0" fontId="13" fillId="8" borderId="36" xfId="1" applyFont="1" applyFill="1" applyBorder="1" applyAlignment="1" applyProtection="1">
      <alignment horizontal="center" vertical="center"/>
      <protection hidden="1"/>
    </xf>
    <xf numFmtId="0" fontId="13" fillId="8" borderId="37" xfId="1" applyFont="1" applyFill="1" applyBorder="1" applyAlignment="1" applyProtection="1">
      <alignment horizontal="center" vertical="center"/>
      <protection hidden="1"/>
    </xf>
    <xf numFmtId="0" fontId="2" fillId="0" borderId="0" xfId="1" applyFont="1" applyAlignment="1" applyProtection="1">
      <alignment vertical="center"/>
      <protection locked="0"/>
    </xf>
    <xf numFmtId="0" fontId="14" fillId="9" borderId="38" xfId="2" applyBorder="1">
      <alignment horizontal="left" vertical="center" wrapText="1"/>
    </xf>
    <xf numFmtId="0" fontId="14" fillId="2" borderId="39" xfId="3" applyBorder="1" applyAlignment="1" applyProtection="1">
      <alignment horizontal="center" vertical="center" wrapText="1"/>
      <protection locked="0"/>
    </xf>
    <xf numFmtId="0" fontId="14" fillId="9" borderId="39" xfId="2" applyBorder="1" applyProtection="1">
      <alignment horizontal="left" vertical="center" wrapText="1"/>
      <protection locked="0"/>
    </xf>
    <xf numFmtId="0" fontId="14" fillId="2" borderId="39" xfId="3" applyBorder="1" applyProtection="1">
      <alignment horizontal="left" vertical="center" wrapText="1"/>
      <protection locked="0"/>
    </xf>
    <xf numFmtId="0" fontId="14" fillId="9" borderId="40" xfId="2" applyBorder="1" applyProtection="1">
      <alignment horizontal="left" vertical="center" wrapText="1"/>
      <protection locked="0"/>
    </xf>
    <xf numFmtId="0" fontId="15" fillId="10" borderId="41" xfId="4" applyBorder="1" applyAlignment="1" applyProtection="1">
      <alignment horizontal="center" vertical="center" wrapText="1"/>
      <protection locked="0"/>
    </xf>
    <xf numFmtId="0" fontId="15" fillId="2" borderId="42" xfId="5" applyBorder="1" applyAlignment="1" applyProtection="1">
      <alignment horizontal="center" vertical="center" wrapText="1"/>
      <protection locked="0"/>
    </xf>
    <xf numFmtId="0" fontId="15" fillId="2" borderId="42" xfId="5" applyBorder="1" applyProtection="1">
      <alignment horizontal="left" vertical="center" wrapText="1"/>
      <protection locked="0"/>
    </xf>
    <xf numFmtId="0" fontId="16" fillId="2" borderId="42" xfId="6" applyBorder="1" applyAlignment="1" applyProtection="1">
      <alignment horizontal="center" vertical="center" wrapText="1"/>
      <protection locked="0"/>
    </xf>
    <xf numFmtId="164" fontId="16" fillId="10" borderId="43" xfId="7" applyNumberFormat="1" applyBorder="1" applyAlignment="1" applyProtection="1">
      <alignment horizontal="right" vertical="center" wrapText="1"/>
      <protection locked="0"/>
    </xf>
    <xf numFmtId="0" fontId="2" fillId="0" borderId="44" xfId="1" applyFont="1" applyBorder="1" applyAlignment="1" applyProtection="1">
      <alignment vertical="center"/>
      <protection locked="0"/>
    </xf>
    <xf numFmtId="0" fontId="15" fillId="2" borderId="45" xfId="5" applyBorder="1" applyProtection="1">
      <alignment horizontal="left" vertical="center" wrapText="1"/>
      <protection locked="0"/>
    </xf>
    <xf numFmtId="0" fontId="2" fillId="0" borderId="0" xfId="1" applyFont="1" applyAlignment="1" applyProtection="1">
      <alignment horizontal="center" vertical="center"/>
      <protection locked="0"/>
    </xf>
    <xf numFmtId="0" fontId="2" fillId="0" borderId="46" xfId="1" applyFont="1" applyBorder="1" applyAlignment="1" applyProtection="1">
      <alignment horizontal="center" vertical="center"/>
      <protection locked="0"/>
    </xf>
    <xf numFmtId="0" fontId="15" fillId="2" borderId="47" xfId="5" applyBorder="1" applyProtection="1">
      <alignment horizontal="left" vertical="center" wrapText="1"/>
      <protection locked="0"/>
    </xf>
    <xf numFmtId="0" fontId="15" fillId="2" borderId="48" xfId="5" applyBorder="1" applyProtection="1">
      <alignment horizontal="left" vertical="center" wrapText="1"/>
      <protection locked="0"/>
    </xf>
    <xf numFmtId="0" fontId="2" fillId="0" borderId="0" xfId="1" applyFont="1" applyProtection="1">
      <protection locked="0"/>
    </xf>
    <xf numFmtId="0" fontId="2" fillId="0" borderId="44" xfId="1" applyFont="1" applyBorder="1" applyProtection="1">
      <protection locked="0"/>
    </xf>
    <xf numFmtId="0" fontId="2" fillId="0" borderId="0" xfId="1" applyFont="1" applyAlignment="1" applyProtection="1">
      <alignment horizontal="center"/>
      <protection locked="0"/>
    </xf>
    <xf numFmtId="0" fontId="2" fillId="0" borderId="46" xfId="1" applyFont="1" applyBorder="1" applyAlignment="1" applyProtection="1">
      <alignment horizontal="center"/>
      <protection locked="0"/>
    </xf>
    <xf numFmtId="0" fontId="14" fillId="11" borderId="49" xfId="8" applyBorder="1" applyProtection="1">
      <alignment horizontal="left" vertical="center" wrapText="1"/>
      <protection locked="0"/>
    </xf>
    <xf numFmtId="0" fontId="14" fillId="11" borderId="50" xfId="8" applyBorder="1" applyAlignment="1" applyProtection="1">
      <alignment horizontal="center" vertical="center" wrapText="1"/>
      <protection locked="0"/>
    </xf>
    <xf numFmtId="0" fontId="14" fillId="11" borderId="50" xfId="8" applyBorder="1" applyProtection="1">
      <alignment horizontal="left" vertical="center" wrapText="1"/>
      <protection locked="0"/>
    </xf>
    <xf numFmtId="164" fontId="14" fillId="11" borderId="51" xfId="8" applyNumberFormat="1" applyBorder="1" applyAlignment="1" applyProtection="1">
      <alignment horizontal="center" vertical="center" wrapText="1"/>
      <protection locked="0"/>
    </xf>
    <xf numFmtId="0" fontId="14" fillId="9" borderId="38" xfId="2" applyBorder="1" applyProtection="1">
      <alignment horizontal="left" vertical="center" wrapText="1"/>
      <protection locked="0"/>
    </xf>
    <xf numFmtId="0" fontId="33" fillId="0" borderId="0" xfId="1" applyFont="1" applyAlignment="1" applyProtection="1">
      <alignment vertical="center"/>
      <protection hidden="1"/>
    </xf>
    <xf numFmtId="49" fontId="34" fillId="0" borderId="3" xfId="1" applyNumberFormat="1" applyFont="1" applyBorder="1" applyAlignment="1" applyProtection="1">
      <alignment vertical="center"/>
      <protection hidden="1"/>
    </xf>
    <xf numFmtId="0" fontId="34" fillId="0" borderId="4" xfId="1" applyFont="1" applyBorder="1" applyAlignment="1" applyProtection="1">
      <alignment vertical="center"/>
      <protection hidden="1"/>
    </xf>
    <xf numFmtId="49" fontId="34" fillId="0" borderId="5" xfId="1" applyNumberFormat="1" applyFont="1" applyBorder="1" applyAlignment="1" applyProtection="1">
      <alignment horizontal="right" vertical="center"/>
      <protection hidden="1"/>
    </xf>
    <xf numFmtId="49" fontId="35" fillId="0" borderId="7" xfId="1" applyNumberFormat="1" applyFont="1" applyBorder="1" applyAlignment="1">
      <alignment horizontal="left" vertical="top"/>
    </xf>
    <xf numFmtId="49" fontId="35" fillId="0" borderId="7" xfId="1" applyNumberFormat="1" applyFont="1" applyBorder="1" applyAlignment="1">
      <alignment vertical="top" wrapText="1"/>
    </xf>
    <xf numFmtId="49" fontId="35" fillId="3" borderId="7" xfId="1" applyNumberFormat="1" applyFont="1" applyFill="1" applyBorder="1" applyAlignment="1" applyProtection="1">
      <alignment vertical="top" wrapText="1"/>
      <protection locked="0"/>
    </xf>
    <xf numFmtId="49" fontId="35" fillId="0" borderId="7" xfId="1" applyNumberFormat="1" applyFont="1" applyBorder="1" applyAlignment="1" applyProtection="1">
      <alignment vertical="top" wrapText="1"/>
      <protection hidden="1"/>
    </xf>
    <xf numFmtId="49" fontId="35" fillId="0" borderId="8" xfId="1" applyNumberFormat="1" applyFont="1" applyBorder="1" applyAlignment="1" applyProtection="1">
      <alignment vertical="top" wrapText="1"/>
      <protection hidden="1"/>
    </xf>
    <xf numFmtId="0" fontId="36" fillId="0" borderId="9" xfId="1" applyFont="1" applyBorder="1" applyAlignment="1" applyProtection="1">
      <alignment vertical="top"/>
      <protection hidden="1"/>
    </xf>
    <xf numFmtId="0" fontId="36" fillId="0" borderId="10" xfId="1" applyFont="1" applyBorder="1" applyAlignment="1" applyProtection="1">
      <alignment vertical="top"/>
      <protection hidden="1"/>
    </xf>
    <xf numFmtId="49" fontId="37" fillId="3" borderId="10" xfId="1" applyNumberFormat="1" applyFont="1" applyFill="1" applyBorder="1" applyAlignment="1" applyProtection="1">
      <alignment vertical="top"/>
      <protection locked="0"/>
    </xf>
    <xf numFmtId="49" fontId="36" fillId="0" borderId="10" xfId="1" applyNumberFormat="1" applyFont="1" applyBorder="1" applyAlignment="1">
      <alignment vertical="top" wrapText="1"/>
    </xf>
    <xf numFmtId="49" fontId="36" fillId="3" borderId="10" xfId="1" applyNumberFormat="1" applyFont="1" applyFill="1" applyBorder="1" applyAlignment="1" applyProtection="1">
      <alignment vertical="top" wrapText="1"/>
      <protection locked="0"/>
    </xf>
    <xf numFmtId="49" fontId="36" fillId="0" borderId="10" xfId="1" applyNumberFormat="1" applyFont="1" applyBorder="1" applyAlignment="1" applyProtection="1">
      <alignment vertical="top"/>
      <protection hidden="1"/>
    </xf>
    <xf numFmtId="49" fontId="36" fillId="0" borderId="11" xfId="1" applyNumberFormat="1" applyFont="1" applyBorder="1" applyAlignment="1" applyProtection="1">
      <alignment vertical="top"/>
      <protection hidden="1"/>
    </xf>
    <xf numFmtId="0" fontId="37" fillId="5" borderId="12" xfId="1" applyFont="1" applyFill="1" applyBorder="1" applyAlignment="1" applyProtection="1">
      <alignment vertical="center"/>
      <protection hidden="1"/>
    </xf>
    <xf numFmtId="0" fontId="37" fillId="6" borderId="4" xfId="1" applyFont="1" applyFill="1" applyBorder="1" applyAlignment="1" applyProtection="1">
      <alignment vertical="center"/>
      <protection hidden="1"/>
    </xf>
    <xf numFmtId="49" fontId="39" fillId="3" borderId="10" xfId="1" applyNumberFormat="1" applyFont="1" applyFill="1" applyBorder="1" applyAlignment="1" applyProtection="1">
      <alignment vertical="center" wrapText="1"/>
      <protection locked="0"/>
    </xf>
    <xf numFmtId="0" fontId="39" fillId="0" borderId="10" xfId="1" applyFont="1" applyBorder="1" applyAlignment="1" applyProtection="1">
      <alignment vertical="center" wrapText="1"/>
      <protection hidden="1"/>
    </xf>
    <xf numFmtId="49" fontId="39" fillId="0" borderId="10" xfId="1" applyNumberFormat="1" applyFont="1" applyBorder="1" applyAlignment="1" applyProtection="1">
      <alignment vertical="center" wrapText="1"/>
      <protection locked="0"/>
    </xf>
    <xf numFmtId="49" fontId="39" fillId="0" borderId="15" xfId="1" applyNumberFormat="1" applyFont="1" applyBorder="1" applyAlignment="1" applyProtection="1">
      <alignment vertical="center" wrapText="1"/>
      <protection locked="0"/>
    </xf>
    <xf numFmtId="0" fontId="39" fillId="3" borderId="18" xfId="1" applyFont="1" applyFill="1" applyBorder="1" applyAlignment="1" applyProtection="1">
      <alignment vertical="center"/>
      <protection locked="0"/>
    </xf>
    <xf numFmtId="0" fontId="39" fillId="3" borderId="19" xfId="1" applyFont="1" applyFill="1" applyBorder="1" applyAlignment="1" applyProtection="1">
      <alignment horizontal="left" vertical="center"/>
      <protection locked="0"/>
    </xf>
    <xf numFmtId="0" fontId="38" fillId="0" borderId="9" xfId="1" applyFont="1" applyBorder="1" applyAlignment="1" applyProtection="1">
      <alignment vertical="center"/>
      <protection hidden="1"/>
    </xf>
    <xf numFmtId="0" fontId="38" fillId="0" borderId="10" xfId="1" applyFont="1" applyBorder="1" applyAlignment="1" applyProtection="1">
      <alignment vertical="center"/>
      <protection hidden="1"/>
    </xf>
    <xf numFmtId="49" fontId="39" fillId="3" borderId="10" xfId="1" applyNumberFormat="1" applyFont="1" applyFill="1" applyBorder="1" applyAlignment="1" applyProtection="1">
      <alignment vertical="center"/>
      <protection locked="0"/>
    </xf>
    <xf numFmtId="0" fontId="39" fillId="0" borderId="21" xfId="1" applyFont="1" applyBorder="1" applyAlignment="1" applyProtection="1">
      <alignment vertical="center"/>
      <protection locked="0"/>
    </xf>
    <xf numFmtId="0" fontId="41" fillId="0" borderId="0" xfId="1" applyFont="1" applyAlignment="1">
      <alignment horizontal="center"/>
    </xf>
    <xf numFmtId="165" fontId="39" fillId="3" borderId="22" xfId="1" applyNumberFormat="1" applyFont="1" applyFill="1" applyBorder="1" applyAlignment="1" applyProtection="1">
      <alignment horizontal="left" vertical="center"/>
      <protection locked="0"/>
    </xf>
    <xf numFmtId="0" fontId="39" fillId="3" borderId="10" xfId="1" applyFont="1" applyFill="1" applyBorder="1" applyAlignment="1" applyProtection="1">
      <alignment vertical="center"/>
      <protection locked="0"/>
    </xf>
    <xf numFmtId="0" fontId="42" fillId="0" borderId="0" xfId="1" applyFont="1" applyAlignment="1">
      <alignment horizontal="center"/>
    </xf>
    <xf numFmtId="165" fontId="39" fillId="3" borderId="26" xfId="1" applyNumberFormat="1" applyFont="1" applyFill="1" applyBorder="1" applyAlignment="1" applyProtection="1">
      <alignment horizontal="left" vertical="center"/>
      <protection locked="0"/>
    </xf>
    <xf numFmtId="165" fontId="38" fillId="3" borderId="27" xfId="1" applyNumberFormat="1" applyFont="1" applyFill="1" applyBorder="1" applyAlignment="1" applyProtection="1">
      <alignment horizontal="left" vertical="center" wrapText="1"/>
      <protection locked="0"/>
    </xf>
    <xf numFmtId="14" fontId="39" fillId="3" borderId="28" xfId="1" applyNumberFormat="1" applyFont="1" applyFill="1" applyBorder="1" applyAlignment="1" applyProtection="1">
      <alignment vertical="center"/>
      <protection locked="0"/>
    </xf>
    <xf numFmtId="14" fontId="39" fillId="0" borderId="29" xfId="1" applyNumberFormat="1" applyFont="1" applyBorder="1" applyAlignment="1" applyProtection="1">
      <alignment vertical="center"/>
      <protection locked="0"/>
    </xf>
    <xf numFmtId="0" fontId="43" fillId="8" borderId="31" xfId="1" applyFont="1" applyFill="1" applyBorder="1" applyAlignment="1" applyProtection="1">
      <alignment horizontal="right" vertical="center"/>
      <protection hidden="1"/>
    </xf>
    <xf numFmtId="3" fontId="43" fillId="8" borderId="32" xfId="1" applyNumberFormat="1" applyFont="1" applyFill="1" applyBorder="1" applyAlignment="1" applyProtection="1">
      <alignment horizontal="left" vertical="center"/>
      <protection hidden="1"/>
    </xf>
    <xf numFmtId="0" fontId="44" fillId="8" borderId="36" xfId="1" applyFont="1" applyFill="1" applyBorder="1" applyAlignment="1" applyProtection="1">
      <alignment horizontal="center" vertical="center"/>
      <protection hidden="1"/>
    </xf>
    <xf numFmtId="0" fontId="44" fillId="8" borderId="37" xfId="1" applyFont="1" applyFill="1" applyBorder="1" applyAlignment="1" applyProtection="1">
      <alignment horizontal="center" vertical="center"/>
      <protection hidden="1"/>
    </xf>
    <xf numFmtId="0" fontId="33" fillId="0" borderId="0" xfId="1" applyFont="1" applyAlignment="1" applyProtection="1">
      <alignment vertical="center"/>
      <protection locked="0"/>
    </xf>
    <xf numFmtId="0" fontId="45" fillId="9" borderId="38" xfId="9" applyBorder="1">
      <alignment horizontal="left" vertical="center" wrapText="1"/>
    </xf>
    <xf numFmtId="0" fontId="45" fillId="2" borderId="39" xfId="10" applyBorder="1" applyAlignment="1" applyProtection="1">
      <alignment horizontal="center" vertical="center" wrapText="1"/>
      <protection locked="0"/>
    </xf>
    <xf numFmtId="0" fontId="45" fillId="9" borderId="39" xfId="9" applyBorder="1" applyProtection="1">
      <alignment horizontal="left" vertical="center" wrapText="1"/>
      <protection locked="0"/>
    </xf>
    <xf numFmtId="0" fontId="45" fillId="2" borderId="39" xfId="10" applyBorder="1" applyProtection="1">
      <alignment horizontal="left" vertical="center" wrapText="1"/>
      <protection locked="0"/>
    </xf>
    <xf numFmtId="0" fontId="45" fillId="9" borderId="40" xfId="9" applyBorder="1" applyProtection="1">
      <alignment horizontal="left" vertical="center" wrapText="1"/>
      <protection locked="0"/>
    </xf>
    <xf numFmtId="0" fontId="46" fillId="10" borderId="41" xfId="11" applyBorder="1" applyAlignment="1" applyProtection="1">
      <alignment horizontal="center" vertical="center" wrapText="1"/>
      <protection locked="0"/>
    </xf>
    <xf numFmtId="0" fontId="46" fillId="2" borderId="42" xfId="12" applyBorder="1" applyAlignment="1" applyProtection="1">
      <alignment horizontal="center" vertical="center" wrapText="1"/>
      <protection locked="0"/>
    </xf>
    <xf numFmtId="0" fontId="46" fillId="2" borderId="42" xfId="12" applyBorder="1" applyProtection="1">
      <alignment horizontal="left" vertical="center" wrapText="1"/>
      <protection locked="0"/>
    </xf>
    <xf numFmtId="0" fontId="47" fillId="2" borderId="42" xfId="13" applyBorder="1" applyAlignment="1" applyProtection="1">
      <alignment horizontal="center" vertical="center" wrapText="1"/>
      <protection locked="0"/>
    </xf>
    <xf numFmtId="164" fontId="47" fillId="10" borderId="43" xfId="14" applyNumberFormat="1" applyBorder="1" applyAlignment="1" applyProtection="1">
      <alignment horizontal="right" vertical="center" wrapText="1"/>
      <protection locked="0"/>
    </xf>
    <xf numFmtId="0" fontId="33" fillId="0" borderId="44" xfId="1" applyFont="1" applyBorder="1" applyAlignment="1" applyProtection="1">
      <alignment vertical="center"/>
      <protection locked="0"/>
    </xf>
    <xf numFmtId="0" fontId="46" fillId="2" borderId="45" xfId="12" applyBorder="1" applyProtection="1">
      <alignment horizontal="left" vertical="center" wrapText="1"/>
      <protection locked="0"/>
    </xf>
    <xf numFmtId="0" fontId="33" fillId="0" borderId="0" xfId="1" applyFont="1" applyAlignment="1" applyProtection="1">
      <alignment horizontal="center" vertical="center"/>
      <protection locked="0"/>
    </xf>
    <xf numFmtId="0" fontId="33" fillId="0" borderId="46" xfId="1" applyFont="1" applyBorder="1" applyAlignment="1" applyProtection="1">
      <alignment horizontal="center" vertical="center"/>
      <protection locked="0"/>
    </xf>
    <xf numFmtId="0" fontId="46" fillId="2" borderId="47" xfId="12" applyBorder="1" applyProtection="1">
      <alignment horizontal="left" vertical="center" wrapText="1"/>
      <protection locked="0"/>
    </xf>
    <xf numFmtId="0" fontId="46" fillId="2" borderId="48" xfId="12" applyBorder="1" applyProtection="1">
      <alignment horizontal="left" vertical="center" wrapText="1"/>
      <protection locked="0"/>
    </xf>
    <xf numFmtId="0" fontId="33" fillId="0" borderId="0" xfId="1" applyFont="1" applyProtection="1">
      <protection locked="0"/>
    </xf>
    <xf numFmtId="0" fontId="33" fillId="0" borderId="44" xfId="1" applyFont="1" applyBorder="1" applyProtection="1">
      <protection locked="0"/>
    </xf>
    <xf numFmtId="0" fontId="33" fillId="0" borderId="0" xfId="1" applyFont="1" applyAlignment="1" applyProtection="1">
      <alignment horizontal="center"/>
      <protection locked="0"/>
    </xf>
    <xf numFmtId="0" fontId="33" fillId="0" borderId="46" xfId="1" applyFont="1" applyBorder="1" applyAlignment="1" applyProtection="1">
      <alignment horizontal="center"/>
      <protection locked="0"/>
    </xf>
    <xf numFmtId="0" fontId="45" fillId="11" borderId="49" xfId="15" applyBorder="1" applyProtection="1">
      <alignment horizontal="left" vertical="center" wrapText="1"/>
      <protection locked="0"/>
    </xf>
    <xf numFmtId="0" fontId="45" fillId="11" borderId="50" xfId="15" applyBorder="1" applyAlignment="1" applyProtection="1">
      <alignment horizontal="center" vertical="center" wrapText="1"/>
      <protection locked="0"/>
    </xf>
    <xf numFmtId="0" fontId="45" fillId="11" borderId="50" xfId="15" applyBorder="1" applyProtection="1">
      <alignment horizontal="left" vertical="center" wrapText="1"/>
      <protection locked="0"/>
    </xf>
    <xf numFmtId="164" fontId="45" fillId="11" borderId="51" xfId="15" applyNumberFormat="1" applyBorder="1" applyAlignment="1" applyProtection="1">
      <alignment horizontal="center" vertical="center" wrapText="1"/>
      <protection locked="0"/>
    </xf>
    <xf numFmtId="0" fontId="45" fillId="9" borderId="38" xfId="9" applyBorder="1" applyProtection="1">
      <alignment horizontal="left" vertical="center" wrapText="1"/>
      <protection locked="0"/>
    </xf>
    <xf numFmtId="49" fontId="66" fillId="0" borderId="7" xfId="1" applyNumberFormat="1" applyFont="1" applyBorder="1" applyAlignment="1" applyProtection="1">
      <alignment vertical="top" wrapText="1"/>
      <protection locked="0"/>
    </xf>
    <xf numFmtId="49" fontId="68" fillId="0" borderId="10" xfId="1" applyNumberFormat="1" applyFont="1" applyBorder="1" applyAlignment="1" applyProtection="1">
      <alignment vertical="top" wrapText="1"/>
      <protection locked="0"/>
    </xf>
    <xf numFmtId="49" fontId="69" fillId="0" borderId="10" xfId="1" applyNumberFormat="1" applyFont="1" applyBorder="1" applyAlignment="1" applyProtection="1">
      <alignment vertical="center" wrapText="1"/>
      <protection locked="0"/>
    </xf>
    <xf numFmtId="0" fontId="69" fillId="0" borderId="18" xfId="1" applyFont="1" applyBorder="1" applyAlignment="1" applyProtection="1">
      <alignment vertical="center"/>
      <protection locked="0"/>
    </xf>
    <xf numFmtId="0" fontId="69" fillId="0" borderId="19" xfId="1" applyFont="1" applyBorder="1" applyAlignment="1" applyProtection="1">
      <alignment horizontal="left" vertical="center"/>
      <protection locked="0"/>
    </xf>
    <xf numFmtId="49" fontId="69" fillId="0" borderId="10" xfId="1" applyNumberFormat="1" applyFont="1" applyBorder="1" applyAlignment="1" applyProtection="1">
      <alignment vertical="center"/>
      <protection locked="0"/>
    </xf>
    <xf numFmtId="0" fontId="33" fillId="14" borderId="0" xfId="1" applyFont="1" applyFill="1" applyAlignment="1" applyProtection="1">
      <alignment vertical="center"/>
      <protection locked="0"/>
    </xf>
    <xf numFmtId="0" fontId="39" fillId="14" borderId="57" xfId="1" applyFont="1" applyFill="1" applyBorder="1" applyAlignment="1" applyProtection="1">
      <alignment vertical="center"/>
      <protection locked="0"/>
    </xf>
    <xf numFmtId="0" fontId="39" fillId="14" borderId="58" xfId="1" applyFont="1" applyFill="1" applyBorder="1" applyAlignment="1" applyProtection="1">
      <alignment horizontal="center" vertical="center"/>
      <protection locked="0"/>
    </xf>
    <xf numFmtId="0" fontId="39" fillId="14" borderId="58" xfId="1" applyFont="1" applyFill="1" applyBorder="1" applyAlignment="1" applyProtection="1">
      <alignment vertical="center"/>
      <protection locked="0"/>
    </xf>
    <xf numFmtId="0" fontId="39" fillId="14" borderId="58" xfId="1" applyFont="1" applyFill="1" applyBorder="1" applyAlignment="1" applyProtection="1">
      <alignment horizontal="left" vertical="center"/>
      <protection locked="0"/>
    </xf>
    <xf numFmtId="0" fontId="39" fillId="14" borderId="59" xfId="1" applyFont="1" applyFill="1" applyBorder="1" applyAlignment="1" applyProtection="1">
      <alignment horizontal="center" vertical="center"/>
      <protection locked="0"/>
    </xf>
    <xf numFmtId="0" fontId="33" fillId="15" borderId="60" xfId="1" applyFont="1" applyFill="1" applyBorder="1" applyAlignment="1" applyProtection="1">
      <alignment horizontal="center" vertical="center"/>
      <protection locked="0"/>
    </xf>
    <xf numFmtId="49" fontId="33" fillId="0" borderId="61" xfId="1" applyNumberFormat="1" applyFont="1" applyBorder="1" applyAlignment="1" applyProtection="1">
      <alignment horizontal="center" vertical="center"/>
      <protection locked="0"/>
    </xf>
    <xf numFmtId="0" fontId="33" fillId="15" borderId="61" xfId="1" applyFont="1" applyFill="1" applyBorder="1" applyAlignment="1" applyProtection="1">
      <alignment horizontal="center" vertical="center"/>
      <protection locked="0"/>
    </xf>
    <xf numFmtId="0" fontId="33" fillId="0" borderId="61" xfId="1" applyFont="1" applyBorder="1" applyAlignment="1" applyProtection="1">
      <alignment horizontal="center" vertical="center"/>
      <protection locked="0"/>
    </xf>
    <xf numFmtId="0" fontId="71" fillId="0" borderId="61" xfId="16" applyFont="1" applyBorder="1" applyAlignment="1" applyProtection="1">
      <alignment horizontal="left" vertical="center" wrapText="1"/>
      <protection locked="0"/>
    </xf>
    <xf numFmtId="166" fontId="33" fillId="0" borderId="61" xfId="1" applyNumberFormat="1" applyFont="1" applyBorder="1" applyAlignment="1" applyProtection="1">
      <alignment horizontal="center" vertical="center"/>
      <protection locked="0"/>
    </xf>
    <xf numFmtId="4" fontId="72" fillId="0" borderId="61" xfId="16" applyNumberFormat="1" applyFont="1" applyBorder="1" applyAlignment="1" applyProtection="1">
      <alignment horizontal="center" vertical="center"/>
      <protection locked="0"/>
    </xf>
    <xf numFmtId="167" fontId="72" fillId="0" borderId="62" xfId="16" applyNumberFormat="1" applyFont="1" applyBorder="1" applyAlignment="1">
      <alignment horizontal="right" vertical="center"/>
    </xf>
    <xf numFmtId="0" fontId="33" fillId="0" borderId="25" xfId="1" applyFont="1" applyBorder="1" applyAlignment="1" applyProtection="1">
      <alignment vertical="center"/>
      <protection locked="0"/>
    </xf>
    <xf numFmtId="0" fontId="71" fillId="0" borderId="63" xfId="16" applyFont="1" applyBorder="1" applyAlignment="1" applyProtection="1">
      <alignment horizontal="left" vertical="center" wrapText="1"/>
      <protection locked="0"/>
    </xf>
    <xf numFmtId="0" fontId="33" fillId="0" borderId="64" xfId="1" applyFont="1" applyBorder="1" applyAlignment="1" applyProtection="1">
      <alignment horizontal="center" vertical="center"/>
      <protection locked="0"/>
    </xf>
    <xf numFmtId="0" fontId="73" fillId="0" borderId="34" xfId="16" applyFont="1" applyBorder="1" applyAlignment="1" applyProtection="1">
      <alignment horizontal="left" vertical="center" wrapText="1" shrinkToFit="1"/>
      <protection locked="0"/>
    </xf>
    <xf numFmtId="2" fontId="33" fillId="0" borderId="61" xfId="1" applyNumberFormat="1" applyFont="1" applyBorder="1" applyAlignment="1" applyProtection="1">
      <alignment horizontal="center" vertical="center"/>
      <protection locked="0"/>
    </xf>
    <xf numFmtId="167" fontId="72" fillId="0" borderId="62" xfId="16" applyNumberFormat="1" applyFont="1" applyBorder="1" applyAlignment="1" applyProtection="1">
      <alignment horizontal="right" vertical="center"/>
      <protection locked="0"/>
    </xf>
    <xf numFmtId="0" fontId="33" fillId="0" borderId="65" xfId="1" applyFont="1" applyBorder="1" applyAlignment="1" applyProtection="1">
      <alignment vertical="center"/>
      <protection locked="0"/>
    </xf>
    <xf numFmtId="0" fontId="33" fillId="0" borderId="66" xfId="1" applyFont="1" applyBorder="1" applyAlignment="1" applyProtection="1">
      <alignment vertical="center"/>
      <protection locked="0"/>
    </xf>
    <xf numFmtId="0" fontId="71" fillId="0" borderId="55" xfId="16" applyFont="1" applyBorder="1" applyAlignment="1" applyProtection="1">
      <alignment horizontal="left" vertical="center" wrapText="1" shrinkToFit="1"/>
      <protection locked="0"/>
    </xf>
    <xf numFmtId="0" fontId="33" fillId="0" borderId="66" xfId="1" applyFont="1" applyBorder="1" applyAlignment="1" applyProtection="1">
      <alignment horizontal="center" vertical="center"/>
      <protection locked="0"/>
    </xf>
    <xf numFmtId="0" fontId="33" fillId="0" borderId="67" xfId="1" applyFont="1" applyBorder="1" applyAlignment="1" applyProtection="1">
      <alignment horizontal="center" vertical="center"/>
      <protection locked="0"/>
    </xf>
    <xf numFmtId="0" fontId="33" fillId="16" borderId="0" xfId="1" applyFont="1" applyFill="1" applyAlignment="1" applyProtection="1">
      <alignment vertical="center"/>
      <protection locked="0"/>
    </xf>
    <xf numFmtId="0" fontId="39" fillId="16" borderId="57" xfId="1" applyFont="1" applyFill="1" applyBorder="1" applyAlignment="1" applyProtection="1">
      <alignment vertical="center"/>
      <protection locked="0"/>
    </xf>
    <xf numFmtId="0" fontId="39" fillId="16" borderId="58" xfId="1" applyFont="1" applyFill="1" applyBorder="1" applyAlignment="1" applyProtection="1">
      <alignment horizontal="center" vertical="center"/>
      <protection locked="0"/>
    </xf>
    <xf numFmtId="0" fontId="39" fillId="16" borderId="58" xfId="1" applyFont="1" applyFill="1" applyBorder="1" applyAlignment="1" applyProtection="1">
      <alignment vertical="center"/>
      <protection locked="0"/>
    </xf>
    <xf numFmtId="0" fontId="39" fillId="16" borderId="58" xfId="1" applyFont="1" applyFill="1" applyBorder="1" applyAlignment="1" applyProtection="1">
      <alignment horizontal="left" vertical="center"/>
      <protection locked="0"/>
    </xf>
    <xf numFmtId="167" fontId="39" fillId="16" borderId="59" xfId="1" applyNumberFormat="1" applyFont="1" applyFill="1" applyBorder="1" applyAlignment="1" applyProtection="1">
      <alignment horizontal="center" vertical="center"/>
      <protection locked="0"/>
    </xf>
    <xf numFmtId="0" fontId="34" fillId="0" borderId="17" xfId="1" applyFont="1" applyBorder="1" applyAlignment="1" applyProtection="1">
      <alignment vertical="center" wrapText="1"/>
      <protection hidden="1"/>
    </xf>
    <xf numFmtId="0" fontId="34" fillId="0" borderId="53" xfId="1" applyFont="1" applyBorder="1" applyAlignment="1" applyProtection="1">
      <alignment vertical="center" wrapText="1"/>
      <protection hidden="1"/>
    </xf>
    <xf numFmtId="0" fontId="65" fillId="0" borderId="0" xfId="1" applyFont="1" applyAlignment="1" applyProtection="1">
      <alignment vertical="center" wrapText="1"/>
      <protection hidden="1"/>
    </xf>
    <xf numFmtId="0" fontId="37" fillId="12" borderId="12" xfId="1" applyFont="1" applyFill="1" applyBorder="1" applyAlignment="1" applyProtection="1">
      <alignment vertical="center"/>
      <protection hidden="1"/>
    </xf>
    <xf numFmtId="165" fontId="69" fillId="0" borderId="22" xfId="1" applyNumberFormat="1" applyFont="1" applyBorder="1" applyAlignment="1" applyProtection="1">
      <alignment horizontal="left" vertical="center"/>
      <protection locked="0"/>
    </xf>
    <xf numFmtId="0" fontId="69" fillId="0" borderId="10" xfId="1" applyFont="1" applyBorder="1" applyAlignment="1" applyProtection="1">
      <alignment vertical="center"/>
      <protection locked="0"/>
    </xf>
    <xf numFmtId="165" fontId="69" fillId="0" borderId="26" xfId="1" applyNumberFormat="1" applyFont="1" applyBorder="1" applyAlignment="1" applyProtection="1">
      <alignment horizontal="left" vertical="center"/>
      <protection locked="0"/>
    </xf>
    <xf numFmtId="165" fontId="79" fillId="0" borderId="27" xfId="1" applyNumberFormat="1" applyFont="1" applyBorder="1" applyAlignment="1" applyProtection="1">
      <alignment horizontal="left" vertical="center" wrapText="1"/>
      <protection locked="0"/>
    </xf>
    <xf numFmtId="14" fontId="69" fillId="0" borderId="28" xfId="1" applyNumberFormat="1" applyFont="1" applyBorder="1" applyAlignment="1" applyProtection="1">
      <alignment vertical="center"/>
      <protection locked="0"/>
    </xf>
    <xf numFmtId="0" fontId="44" fillId="8" borderId="55" xfId="1" applyFont="1" applyFill="1" applyBorder="1" applyAlignment="1" applyProtection="1">
      <alignment horizontal="center" vertical="center"/>
      <protection hidden="1"/>
    </xf>
    <xf numFmtId="0" fontId="44" fillId="8" borderId="56" xfId="1" applyFont="1" applyFill="1" applyBorder="1" applyAlignment="1" applyProtection="1">
      <alignment horizontal="center" vertical="center"/>
      <protection hidden="1"/>
    </xf>
    <xf numFmtId="0" fontId="33" fillId="15" borderId="60" xfId="1" applyFont="1" applyFill="1" applyBorder="1" applyAlignment="1">
      <alignment horizontal="center" vertical="center"/>
    </xf>
    <xf numFmtId="0" fontId="33" fillId="0" borderId="0" xfId="1" applyFont="1" applyAlignment="1">
      <alignment vertical="center"/>
    </xf>
    <xf numFmtId="0" fontId="13" fillId="8" borderId="24" xfId="1" applyFont="1" applyFill="1" applyBorder="1" applyAlignment="1" applyProtection="1">
      <alignment horizontal="center" vertical="center" wrapText="1"/>
      <protection hidden="1"/>
    </xf>
    <xf numFmtId="0" fontId="13" fillId="8" borderId="21" xfId="1" applyFont="1" applyFill="1" applyBorder="1" applyAlignment="1" applyProtection="1">
      <alignment horizontal="center" vertical="center" wrapText="1"/>
      <protection hidden="1"/>
    </xf>
    <xf numFmtId="0" fontId="7" fillId="0" borderId="25" xfId="1" applyFont="1" applyBorder="1" applyAlignment="1" applyProtection="1">
      <alignment horizontal="left" vertical="center"/>
      <protection hidden="1"/>
    </xf>
    <xf numFmtId="0" fontId="7" fillId="0" borderId="0" xfId="1" applyFont="1" applyAlignment="1" applyProtection="1">
      <alignment horizontal="left" vertical="center"/>
      <protection hidden="1"/>
    </xf>
    <xf numFmtId="49" fontId="7" fillId="3" borderId="0" xfId="1" applyNumberFormat="1" applyFont="1" applyFill="1" applyAlignment="1" applyProtection="1">
      <alignment horizontal="left" vertical="center"/>
      <protection locked="0"/>
    </xf>
    <xf numFmtId="49" fontId="7" fillId="3" borderId="26" xfId="1" applyNumberFormat="1" applyFont="1" applyFill="1" applyBorder="1" applyAlignment="1" applyProtection="1">
      <alignment horizontal="left" vertical="center"/>
      <protection locked="0"/>
    </xf>
    <xf numFmtId="0" fontId="7" fillId="0" borderId="23" xfId="1" applyFont="1" applyBorder="1" applyAlignment="1" applyProtection="1">
      <alignment horizontal="left" vertical="center"/>
      <protection hidden="1"/>
    </xf>
    <xf numFmtId="0" fontId="7" fillId="0" borderId="7" xfId="1" applyFont="1" applyBorder="1" applyAlignment="1" applyProtection="1">
      <alignment horizontal="left" vertical="center"/>
      <protection hidden="1"/>
    </xf>
    <xf numFmtId="49" fontId="12" fillId="8" borderId="30" xfId="1" applyNumberFormat="1" applyFont="1" applyFill="1" applyBorder="1" applyAlignment="1" applyProtection="1">
      <alignment horizontal="left" vertical="center"/>
      <protection hidden="1"/>
    </xf>
    <xf numFmtId="0" fontId="12" fillId="8" borderId="31" xfId="1" applyFont="1" applyFill="1" applyBorder="1" applyAlignment="1" applyProtection="1">
      <alignment horizontal="left" vertical="center"/>
      <protection hidden="1"/>
    </xf>
    <xf numFmtId="0" fontId="13" fillId="8" borderId="33" xfId="1" applyFont="1" applyFill="1" applyBorder="1" applyAlignment="1" applyProtection="1">
      <alignment horizontal="center" vertical="center" wrapText="1"/>
      <protection hidden="1"/>
    </xf>
    <xf numFmtId="0" fontId="13" fillId="8" borderId="35" xfId="1" applyFont="1" applyFill="1" applyBorder="1" applyAlignment="1" applyProtection="1">
      <alignment horizontal="center" vertical="center" wrapText="1"/>
      <protection hidden="1"/>
    </xf>
    <xf numFmtId="0" fontId="13" fillId="8" borderId="34" xfId="1" applyFont="1" applyFill="1" applyBorder="1" applyAlignment="1" applyProtection="1">
      <alignment horizontal="center" vertical="center" wrapText="1"/>
      <protection hidden="1"/>
    </xf>
    <xf numFmtId="0" fontId="13" fillId="8" borderId="36" xfId="1" applyFont="1" applyFill="1" applyBorder="1" applyAlignment="1" applyProtection="1">
      <alignment horizontal="center" vertical="center" wrapText="1"/>
      <protection hidden="1"/>
    </xf>
    <xf numFmtId="0" fontId="13" fillId="8" borderId="34" xfId="1" applyFont="1" applyFill="1" applyBorder="1" applyAlignment="1" applyProtection="1">
      <alignment horizontal="center" vertical="center"/>
      <protection hidden="1"/>
    </xf>
    <xf numFmtId="0" fontId="13" fillId="8" borderId="36" xfId="1" applyFont="1" applyFill="1" applyBorder="1" applyAlignment="1" applyProtection="1">
      <alignment horizontal="center" vertical="center"/>
      <protection hidden="1"/>
    </xf>
    <xf numFmtId="0" fontId="7" fillId="0" borderId="6" xfId="1" applyFont="1" applyBorder="1" applyAlignment="1" applyProtection="1">
      <alignment horizontal="left" vertical="center"/>
      <protection hidden="1"/>
    </xf>
    <xf numFmtId="165" fontId="8" fillId="0" borderId="23" xfId="1" applyNumberFormat="1" applyFont="1" applyBorder="1" applyAlignment="1" applyProtection="1">
      <alignment horizontal="left" vertical="center"/>
      <protection hidden="1"/>
    </xf>
    <xf numFmtId="165" fontId="8" fillId="0" borderId="7" xfId="1" applyNumberFormat="1" applyFont="1" applyBorder="1" applyAlignment="1" applyProtection="1">
      <alignment horizontal="left" vertical="center"/>
      <protection hidden="1"/>
    </xf>
    <xf numFmtId="165" fontId="8" fillId="0" borderId="22" xfId="1" applyNumberFormat="1" applyFont="1" applyBorder="1" applyAlignment="1" applyProtection="1">
      <alignment horizontal="left" vertical="center"/>
      <protection hidden="1"/>
    </xf>
    <xf numFmtId="0" fontId="7" fillId="0" borderId="24" xfId="1" applyFont="1" applyBorder="1" applyAlignment="1" applyProtection="1">
      <alignment horizontal="left" vertical="center"/>
      <protection hidden="1"/>
    </xf>
    <xf numFmtId="0" fontId="7" fillId="0" borderId="10" xfId="1" applyFont="1" applyBorder="1" applyAlignment="1" applyProtection="1">
      <alignment horizontal="left" vertical="center"/>
      <protection hidden="1"/>
    </xf>
    <xf numFmtId="164" fontId="4" fillId="4" borderId="4" xfId="1" applyNumberFormat="1" applyFont="1" applyFill="1" applyBorder="1" applyAlignment="1" applyProtection="1">
      <alignment horizontal="right" vertical="center"/>
      <protection hidden="1"/>
    </xf>
    <xf numFmtId="7" fontId="4" fillId="4" borderId="5" xfId="1" applyNumberFormat="1" applyFont="1" applyFill="1" applyBorder="1" applyAlignment="1" applyProtection="1">
      <alignment horizontal="right" vertical="center"/>
      <protection hidden="1"/>
    </xf>
    <xf numFmtId="0" fontId="6" fillId="7" borderId="13" xfId="1" applyFont="1" applyFill="1" applyBorder="1" applyAlignment="1" applyProtection="1">
      <alignment horizontal="center" vertical="center"/>
      <protection hidden="1"/>
    </xf>
    <xf numFmtId="0" fontId="6" fillId="7" borderId="5" xfId="1" applyFont="1" applyFill="1" applyBorder="1" applyAlignment="1" applyProtection="1">
      <alignment horizontal="center" vertical="center"/>
      <protection hidden="1"/>
    </xf>
    <xf numFmtId="0" fontId="8" fillId="0" borderId="10" xfId="1" applyFont="1" applyBorder="1" applyAlignment="1" applyProtection="1">
      <alignment horizontal="left" vertical="center" wrapText="1"/>
      <protection hidden="1"/>
    </xf>
    <xf numFmtId="0" fontId="8" fillId="0" borderId="15" xfId="1" applyFont="1" applyBorder="1" applyAlignment="1" applyProtection="1">
      <alignment horizontal="left" vertical="center" wrapText="1"/>
      <protection hidden="1"/>
    </xf>
    <xf numFmtId="0" fontId="7" fillId="0" borderId="20" xfId="1" applyFont="1" applyBorder="1" applyAlignment="1" applyProtection="1">
      <alignment horizontal="left" vertical="center"/>
      <protection hidden="1"/>
    </xf>
    <xf numFmtId="0" fontId="7" fillId="0" borderId="14" xfId="1" applyFont="1" applyBorder="1" applyAlignment="1" applyProtection="1">
      <alignment horizontal="left" vertical="center"/>
      <protection hidden="1"/>
    </xf>
    <xf numFmtId="49" fontId="9" fillId="0" borderId="10" xfId="1" applyNumberFormat="1" applyFont="1" applyBorder="1" applyAlignment="1" applyProtection="1">
      <alignment horizontal="left" vertical="center"/>
      <protection hidden="1"/>
    </xf>
    <xf numFmtId="49" fontId="9" fillId="0" borderId="15" xfId="1" applyNumberFormat="1" applyFont="1" applyBorder="1" applyAlignment="1" applyProtection="1">
      <alignment horizontal="left" vertical="center"/>
      <protection hidden="1"/>
    </xf>
    <xf numFmtId="0" fontId="7" fillId="0" borderId="9" xfId="1" applyFont="1" applyBorder="1" applyAlignment="1" applyProtection="1">
      <alignment horizontal="left" vertical="center"/>
      <protection hidden="1"/>
    </xf>
    <xf numFmtId="0" fontId="7" fillId="0" borderId="16" xfId="1" applyFont="1" applyBorder="1" applyAlignment="1" applyProtection="1">
      <alignment horizontal="left" vertical="center"/>
      <protection hidden="1"/>
    </xf>
    <xf numFmtId="0" fontId="7" fillId="0" borderId="17" xfId="1" applyFont="1" applyBorder="1" applyAlignment="1" applyProtection="1">
      <alignment horizontal="left" vertical="center"/>
      <protection hidden="1"/>
    </xf>
    <xf numFmtId="0" fontId="3" fillId="0" borderId="1" xfId="1" applyFont="1" applyBorder="1" applyAlignment="1" applyProtection="1">
      <alignment horizontal="center" vertical="center" wrapText="1"/>
      <protection hidden="1"/>
    </xf>
    <xf numFmtId="0" fontId="3" fillId="0" borderId="2" xfId="1" applyFont="1" applyBorder="1" applyAlignment="1" applyProtection="1">
      <alignment horizontal="center" vertical="center" wrapText="1"/>
      <protection hidden="1"/>
    </xf>
    <xf numFmtId="0" fontId="4" fillId="0" borderId="6" xfId="1" applyFont="1" applyBorder="1" applyAlignment="1">
      <alignment horizontal="left" vertical="top"/>
    </xf>
    <xf numFmtId="0" fontId="4" fillId="0" borderId="7" xfId="1" applyFont="1" applyBorder="1" applyAlignment="1">
      <alignment horizontal="left" vertical="top"/>
    </xf>
    <xf numFmtId="0" fontId="4" fillId="4" borderId="1" xfId="1" applyFont="1" applyFill="1" applyBorder="1" applyAlignment="1" applyProtection="1">
      <alignment horizontal="center" vertical="center" wrapText="1"/>
      <protection hidden="1"/>
    </xf>
    <xf numFmtId="0" fontId="4" fillId="4" borderId="2" xfId="1" applyFont="1" applyFill="1" applyBorder="1" applyAlignment="1" applyProtection="1">
      <alignment horizontal="center" vertical="center" wrapText="1"/>
      <protection hidden="1"/>
    </xf>
    <xf numFmtId="0" fontId="44" fillId="8" borderId="24" xfId="1" applyFont="1" applyFill="1" applyBorder="1" applyAlignment="1" applyProtection="1">
      <alignment horizontal="center" vertical="center" wrapText="1"/>
      <protection hidden="1"/>
    </xf>
    <xf numFmtId="0" fontId="44" fillId="8" borderId="21" xfId="1" applyFont="1" applyFill="1" applyBorder="1" applyAlignment="1" applyProtection="1">
      <alignment horizontal="center" vertical="center" wrapText="1"/>
      <protection hidden="1"/>
    </xf>
    <xf numFmtId="0" fontId="38" fillId="0" borderId="25" xfId="1" applyFont="1" applyBorder="1" applyAlignment="1" applyProtection="1">
      <alignment horizontal="left" vertical="center"/>
      <protection hidden="1"/>
    </xf>
    <xf numFmtId="0" fontId="38" fillId="0" borderId="0" xfId="1" applyFont="1" applyAlignment="1" applyProtection="1">
      <alignment horizontal="left" vertical="center"/>
      <protection hidden="1"/>
    </xf>
    <xf numFmtId="49" fontId="38" fillId="3" borderId="0" xfId="1" applyNumberFormat="1" applyFont="1" applyFill="1" applyAlignment="1" applyProtection="1">
      <alignment horizontal="left" vertical="center"/>
      <protection locked="0"/>
    </xf>
    <xf numFmtId="49" fontId="38" fillId="3" borderId="26" xfId="1" applyNumberFormat="1" applyFont="1" applyFill="1" applyBorder="1" applyAlignment="1" applyProtection="1">
      <alignment horizontal="left" vertical="center"/>
      <protection locked="0"/>
    </xf>
    <xf numFmtId="0" fontId="38" fillId="0" borderId="23" xfId="1" applyFont="1" applyBorder="1" applyAlignment="1" applyProtection="1">
      <alignment horizontal="left" vertical="center"/>
      <protection hidden="1"/>
    </xf>
    <xf numFmtId="0" fontId="38" fillId="0" borderId="7" xfId="1" applyFont="1" applyBorder="1" applyAlignment="1" applyProtection="1">
      <alignment horizontal="left" vertical="center"/>
      <protection hidden="1"/>
    </xf>
    <xf numFmtId="49" fontId="43" fillId="8" borderId="30" xfId="1" applyNumberFormat="1" applyFont="1" applyFill="1" applyBorder="1" applyAlignment="1" applyProtection="1">
      <alignment horizontal="left" vertical="center"/>
      <protection hidden="1"/>
    </xf>
    <xf numFmtId="0" fontId="43" fillId="8" borderId="31" xfId="1" applyFont="1" applyFill="1" applyBorder="1" applyAlignment="1" applyProtection="1">
      <alignment horizontal="left" vertical="center"/>
      <protection hidden="1"/>
    </xf>
    <xf numFmtId="0" fontId="44" fillId="8" borderId="33" xfId="1" applyFont="1" applyFill="1" applyBorder="1" applyAlignment="1" applyProtection="1">
      <alignment horizontal="center" vertical="center" wrapText="1"/>
      <protection hidden="1"/>
    </xf>
    <xf numFmtId="0" fontId="44" fillId="8" borderId="35" xfId="1" applyFont="1" applyFill="1" applyBorder="1" applyAlignment="1" applyProtection="1">
      <alignment horizontal="center" vertical="center" wrapText="1"/>
      <protection hidden="1"/>
    </xf>
    <xf numFmtId="0" fontId="44" fillId="8" borderId="34" xfId="1" applyFont="1" applyFill="1" applyBorder="1" applyAlignment="1" applyProtection="1">
      <alignment horizontal="center" vertical="center" wrapText="1"/>
      <protection hidden="1"/>
    </xf>
    <xf numFmtId="0" fontId="44" fillId="8" borderId="36" xfId="1" applyFont="1" applyFill="1" applyBorder="1" applyAlignment="1" applyProtection="1">
      <alignment horizontal="center" vertical="center" wrapText="1"/>
      <protection hidden="1"/>
    </xf>
    <xf numFmtId="0" fontId="44" fillId="8" borderId="34" xfId="1" applyFont="1" applyFill="1" applyBorder="1" applyAlignment="1" applyProtection="1">
      <alignment horizontal="center" vertical="center"/>
      <protection hidden="1"/>
    </xf>
    <xf numFmtId="0" fontId="44" fillId="8" borderId="36" xfId="1" applyFont="1" applyFill="1" applyBorder="1" applyAlignment="1" applyProtection="1">
      <alignment horizontal="center" vertical="center"/>
      <protection hidden="1"/>
    </xf>
    <xf numFmtId="0" fontId="38" fillId="0" borderId="6" xfId="1" applyFont="1" applyBorder="1" applyAlignment="1" applyProtection="1">
      <alignment horizontal="left" vertical="center"/>
      <protection hidden="1"/>
    </xf>
    <xf numFmtId="165" fontId="39" fillId="0" borderId="23" xfId="1" applyNumberFormat="1" applyFont="1" applyBorder="1" applyAlignment="1" applyProtection="1">
      <alignment horizontal="left" vertical="center"/>
      <protection hidden="1"/>
    </xf>
    <xf numFmtId="165" fontId="39" fillId="0" borderId="7" xfId="1" applyNumberFormat="1" applyFont="1" applyBorder="1" applyAlignment="1" applyProtection="1">
      <alignment horizontal="left" vertical="center"/>
      <protection hidden="1"/>
    </xf>
    <xf numFmtId="165" fontId="39" fillId="0" borderId="22" xfId="1" applyNumberFormat="1" applyFont="1" applyBorder="1" applyAlignment="1" applyProtection="1">
      <alignment horizontal="left" vertical="center"/>
      <protection hidden="1"/>
    </xf>
    <xf numFmtId="0" fontId="38" fillId="0" borderId="24" xfId="1" applyFont="1" applyBorder="1" applyAlignment="1" applyProtection="1">
      <alignment horizontal="left" vertical="center"/>
      <protection hidden="1"/>
    </xf>
    <xf numFmtId="0" fontId="38" fillId="0" borderId="10" xfId="1" applyFont="1" applyBorder="1" applyAlignment="1" applyProtection="1">
      <alignment horizontal="left" vertical="center"/>
      <protection hidden="1"/>
    </xf>
    <xf numFmtId="164" fontId="35" fillId="4" borderId="4" xfId="1" applyNumberFormat="1" applyFont="1" applyFill="1" applyBorder="1" applyAlignment="1" applyProtection="1">
      <alignment horizontal="right" vertical="center"/>
      <protection hidden="1"/>
    </xf>
    <xf numFmtId="7" fontId="35" fillId="4" borderId="5" xfId="1" applyNumberFormat="1" applyFont="1" applyFill="1" applyBorder="1" applyAlignment="1" applyProtection="1">
      <alignment horizontal="right" vertical="center"/>
      <protection hidden="1"/>
    </xf>
    <xf numFmtId="0" fontId="37" fillId="7" borderId="13" xfId="1" applyFont="1" applyFill="1" applyBorder="1" applyAlignment="1" applyProtection="1">
      <alignment horizontal="center" vertical="center"/>
      <protection hidden="1"/>
    </xf>
    <xf numFmtId="0" fontId="37" fillId="7" borderId="5" xfId="1" applyFont="1" applyFill="1" applyBorder="1" applyAlignment="1" applyProtection="1">
      <alignment horizontal="center" vertical="center"/>
      <protection hidden="1"/>
    </xf>
    <xf numFmtId="0" fontId="39" fillId="0" borderId="10" xfId="1" applyFont="1" applyBorder="1" applyAlignment="1" applyProtection="1">
      <alignment horizontal="left" vertical="center" wrapText="1"/>
      <protection hidden="1"/>
    </xf>
    <xf numFmtId="0" fontId="39" fillId="0" borderId="15" xfId="1" applyFont="1" applyBorder="1" applyAlignment="1" applyProtection="1">
      <alignment horizontal="left" vertical="center" wrapText="1"/>
      <protection hidden="1"/>
    </xf>
    <xf numFmtId="0" fontId="38" fillId="0" borderId="20" xfId="1" applyFont="1" applyBorder="1" applyAlignment="1" applyProtection="1">
      <alignment horizontal="left" vertical="center"/>
      <protection hidden="1"/>
    </xf>
    <xf numFmtId="0" fontId="38" fillId="0" borderId="14" xfId="1" applyFont="1" applyBorder="1" applyAlignment="1" applyProtection="1">
      <alignment horizontal="left" vertical="center"/>
      <protection hidden="1"/>
    </xf>
    <xf numFmtId="49" fontId="40" fillId="0" borderId="10" xfId="1" applyNumberFormat="1" applyFont="1" applyBorder="1" applyAlignment="1" applyProtection="1">
      <alignment horizontal="left" vertical="center"/>
      <protection hidden="1"/>
    </xf>
    <xf numFmtId="49" fontId="40" fillId="0" borderId="15" xfId="1" applyNumberFormat="1" applyFont="1" applyBorder="1" applyAlignment="1" applyProtection="1">
      <alignment horizontal="left" vertical="center"/>
      <protection hidden="1"/>
    </xf>
    <xf numFmtId="0" fontId="38" fillId="0" borderId="9" xfId="1" applyFont="1" applyBorder="1" applyAlignment="1" applyProtection="1">
      <alignment horizontal="left" vertical="center"/>
      <protection hidden="1"/>
    </xf>
    <xf numFmtId="0" fontId="38" fillId="0" borderId="16" xfId="1" applyFont="1" applyBorder="1" applyAlignment="1" applyProtection="1">
      <alignment horizontal="left" vertical="center"/>
      <protection hidden="1"/>
    </xf>
    <xf numFmtId="0" fontId="38" fillId="0" borderId="17" xfId="1" applyFont="1" applyBorder="1" applyAlignment="1" applyProtection="1">
      <alignment horizontal="left" vertical="center"/>
      <protection hidden="1"/>
    </xf>
    <xf numFmtId="0" fontId="34" fillId="0" borderId="1" xfId="1" applyFont="1" applyBorder="1" applyAlignment="1" applyProtection="1">
      <alignment horizontal="center" vertical="center" wrapText="1"/>
      <protection hidden="1"/>
    </xf>
    <xf numFmtId="0" fontId="34" fillId="0" borderId="2" xfId="1" applyFont="1" applyBorder="1" applyAlignment="1" applyProtection="1">
      <alignment horizontal="center" vertical="center" wrapText="1"/>
      <protection hidden="1"/>
    </xf>
    <xf numFmtId="0" fontId="35" fillId="0" borderId="6" xfId="1" applyFont="1" applyBorder="1" applyAlignment="1">
      <alignment horizontal="left" vertical="top"/>
    </xf>
    <xf numFmtId="0" fontId="35" fillId="0" borderId="7" xfId="1" applyFont="1" applyBorder="1" applyAlignment="1">
      <alignment horizontal="left" vertical="top"/>
    </xf>
    <xf numFmtId="0" fontId="35" fillId="4" borderId="1" xfId="1" applyFont="1" applyFill="1" applyBorder="1" applyAlignment="1" applyProtection="1">
      <alignment horizontal="center" vertical="center" wrapText="1"/>
      <protection hidden="1"/>
    </xf>
    <xf numFmtId="0" fontId="35" fillId="4" borderId="2" xfId="1" applyFont="1" applyFill="1" applyBorder="1" applyAlignment="1" applyProtection="1">
      <alignment horizontal="center" vertical="center" wrapText="1"/>
      <protection hidden="1"/>
    </xf>
    <xf numFmtId="0" fontId="44" fillId="8" borderId="54" xfId="1" applyFont="1" applyFill="1" applyBorder="1" applyAlignment="1" applyProtection="1">
      <alignment horizontal="center" vertical="center" wrapText="1"/>
      <protection hidden="1"/>
    </xf>
    <xf numFmtId="0" fontId="44" fillId="8" borderId="55" xfId="1" applyFont="1" applyFill="1" applyBorder="1" applyAlignment="1" applyProtection="1">
      <alignment horizontal="center" vertical="center" wrapText="1"/>
      <protection hidden="1"/>
    </xf>
    <xf numFmtId="0" fontId="44" fillId="8" borderId="55" xfId="1" applyFont="1" applyFill="1" applyBorder="1" applyAlignment="1" applyProtection="1">
      <alignment horizontal="center" vertical="center"/>
      <protection hidden="1"/>
    </xf>
    <xf numFmtId="49" fontId="79" fillId="0" borderId="0" xfId="1" applyNumberFormat="1" applyFont="1" applyAlignment="1" applyProtection="1">
      <alignment horizontal="left" vertical="center"/>
      <protection locked="0"/>
    </xf>
    <xf numFmtId="49" fontId="79" fillId="0" borderId="26" xfId="1" applyNumberFormat="1" applyFont="1" applyBorder="1" applyAlignment="1" applyProtection="1">
      <alignment horizontal="left" vertical="center"/>
      <protection locked="0"/>
    </xf>
    <xf numFmtId="0" fontId="64" fillId="0" borderId="52" xfId="1" applyFont="1" applyBorder="1" applyAlignment="1" applyProtection="1">
      <alignment horizontal="left" vertical="top" wrapText="1"/>
      <protection hidden="1"/>
    </xf>
    <xf numFmtId="0" fontId="64" fillId="0" borderId="17" xfId="1" applyFont="1" applyBorder="1" applyAlignment="1" applyProtection="1">
      <alignment horizontal="left" vertical="top" wrapText="1"/>
      <protection hidden="1"/>
    </xf>
    <xf numFmtId="7" fontId="35" fillId="4" borderId="4" xfId="1" applyNumberFormat="1" applyFont="1" applyFill="1" applyBorder="1" applyAlignment="1" applyProtection="1">
      <alignment horizontal="right" vertical="center"/>
      <protection hidden="1"/>
    </xf>
    <xf numFmtId="49" fontId="67" fillId="0" borderId="10" xfId="1" applyNumberFormat="1" applyFont="1" applyBorder="1" applyAlignment="1" applyProtection="1">
      <alignment horizontal="left" vertical="top"/>
      <protection locked="0"/>
    </xf>
    <xf numFmtId="0" fontId="37" fillId="13" borderId="13" xfId="1" applyFont="1" applyFill="1" applyBorder="1" applyAlignment="1" applyProtection="1">
      <alignment horizontal="center" vertical="center"/>
      <protection hidden="1"/>
    </xf>
    <xf numFmtId="0" fontId="37" fillId="13" borderId="5" xfId="1" applyFont="1" applyFill="1" applyBorder="1" applyAlignment="1" applyProtection="1">
      <alignment horizontal="center" vertical="center"/>
      <protection hidden="1"/>
    </xf>
  </cellXfs>
  <cellStyles count="18">
    <cellStyle name="Normální" xfId="0" builtinId="0"/>
    <cellStyle name="Normální 2" xfId="1" xr:uid="{244AE071-92B9-43F8-A4DD-BCB572F91DBD}"/>
    <cellStyle name="Normální 3" xfId="16" xr:uid="{BB7DCED0-4FC4-4F19-A9DE-F8261E96D5CC}"/>
    <cellStyle name="Normální 3 2" xfId="17" xr:uid="{D0F9661C-CB0A-47DA-A351-074626F5F023}"/>
    <cellStyle name="PolozkaBila" xfId="4" xr:uid="{1F58DA87-669F-40BF-B5FC-DA446EB8913F}"/>
    <cellStyle name="PolozkaBila 2" xfId="11" xr:uid="{1EF2E608-AB46-4F84-BE12-AF1DEBCC560D}"/>
    <cellStyle name="PolozkaBilaBold" xfId="7" xr:uid="{344EB596-2B7A-4FBA-B12B-EE0D219A59FD}"/>
    <cellStyle name="PolozkaBilaBold 2" xfId="14" xr:uid="{E565665E-5ABF-4481-9E0A-E569484E3753}"/>
    <cellStyle name="PolozkaZluta" xfId="5" xr:uid="{CD1313BB-1F1D-49D7-A743-A92A7E10CCEE}"/>
    <cellStyle name="PolozkaZluta 2" xfId="12" xr:uid="{78171C58-2C28-4917-81BC-CAC53899BA9D}"/>
    <cellStyle name="PolozkaZlutaBold" xfId="6" xr:uid="{46B95254-66F6-4B14-BE99-78D69063B302}"/>
    <cellStyle name="PolozkaZlutaBold 2" xfId="13" xr:uid="{6A1DA2A8-C665-4029-AEEE-F731557DE399}"/>
    <cellStyle name="SdModry" xfId="2" xr:uid="{BF78A03A-973A-4340-80B6-24A54750C50A}"/>
    <cellStyle name="SdModry 2" xfId="9" xr:uid="{D2D0AF9F-E6B0-4838-A0A4-0F46E3987D35}"/>
    <cellStyle name="SdSoucet" xfId="8" xr:uid="{8B9C9D52-F399-48CF-B18A-E572B15C9523}"/>
    <cellStyle name="SdSoucet 2" xfId="15" xr:uid="{A006CF67-E1B5-4499-9F37-194D1287CF11}"/>
    <cellStyle name="SdZluty" xfId="3" xr:uid="{F9AC98AB-F92A-4348-878B-A8983BA50022}"/>
    <cellStyle name="SdZluty 2" xfId="10" xr:uid="{24A6C0C9-FD79-41A5-B546-27075B2CE3F7}"/>
  </cellStyles>
  <dxfs count="207">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s>
</file>

<file path=xl/drawings/drawing1.xml><?xml version="1.0" encoding="utf-8"?>
<xdr:wsDr xmlns:xdr="http://schemas.openxmlformats.org/drawingml/2006/spreadsheetDrawing" xmlns:a="http://schemas.openxmlformats.org/drawingml/2006/main">
  <xdr:twoCellAnchor>
    <xdr:from>
      <xdr:col>8</xdr:col>
      <xdr:colOff>33655</xdr:colOff>
      <xdr:row>2</xdr:row>
      <xdr:rowOff>78740</xdr:rowOff>
    </xdr:from>
    <xdr:to>
      <xdr:col>8</xdr:col>
      <xdr:colOff>694690</xdr:colOff>
      <xdr:row>2</xdr:row>
      <xdr:rowOff>526415</xdr:rowOff>
    </xdr:to>
    <xdr:sp macro="[1]!A_polozka" textlink="">
      <xdr:nvSpPr>
        <xdr:cNvPr id="2" name="TextovéPole 1">
          <a:extLst>
            <a:ext uri="{FF2B5EF4-FFF2-40B4-BE49-F238E27FC236}">
              <a16:creationId xmlns:a16="http://schemas.microsoft.com/office/drawing/2014/main" id="{E65A3B77-A12B-481C-BD85-35FEEA8D1740}"/>
            </a:ext>
          </a:extLst>
        </xdr:cNvPr>
        <xdr:cNvSpPr txBox="1"/>
      </xdr:nvSpPr>
      <xdr:spPr>
        <a:xfrm>
          <a:off x="9149080" y="1193165"/>
          <a:ext cx="66103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100" b="1"/>
            <a:t>Vložit </a:t>
          </a:r>
        </a:p>
        <a:p>
          <a:pPr algn="ctr"/>
          <a:r>
            <a:rPr lang="cs-CZ" sz="1100" b="1"/>
            <a:t>položku</a:t>
          </a:r>
        </a:p>
      </xdr:txBody>
    </xdr:sp>
    <xdr:clientData/>
  </xdr:twoCellAnchor>
  <xdr:twoCellAnchor>
    <xdr:from>
      <xdr:col>10</xdr:col>
      <xdr:colOff>33655</xdr:colOff>
      <xdr:row>2</xdr:row>
      <xdr:rowOff>55880</xdr:rowOff>
    </xdr:from>
    <xdr:to>
      <xdr:col>11</xdr:col>
      <xdr:colOff>1243965</xdr:colOff>
      <xdr:row>2</xdr:row>
      <xdr:rowOff>520065</xdr:rowOff>
    </xdr:to>
    <xdr:sp macro="[1]!B_soucetdil" textlink="">
      <xdr:nvSpPr>
        <xdr:cNvPr id="3" name="TextovéPole 2">
          <a:extLst>
            <a:ext uri="{FF2B5EF4-FFF2-40B4-BE49-F238E27FC236}">
              <a16:creationId xmlns:a16="http://schemas.microsoft.com/office/drawing/2014/main" id="{7200955B-F185-4A7A-B936-1CEC59DA64F5}"/>
            </a:ext>
          </a:extLst>
        </xdr:cNvPr>
        <xdr:cNvSpPr txBox="1"/>
      </xdr:nvSpPr>
      <xdr:spPr>
        <a:xfrm>
          <a:off x="10549255" y="1170305"/>
          <a:ext cx="2067560" cy="46418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Součet za Díl </a:t>
          </a:r>
        </a:p>
        <a:p>
          <a:pPr algn="ctr"/>
          <a:r>
            <a:rPr lang="cs-CZ" sz="800" b="1"/>
            <a:t>včetně přepočítání Dílu</a:t>
          </a:r>
        </a:p>
      </xdr:txBody>
    </xdr:sp>
    <xdr:clientData/>
  </xdr:twoCellAnchor>
  <xdr:twoCellAnchor>
    <xdr:from>
      <xdr:col>9</xdr:col>
      <xdr:colOff>33655</xdr:colOff>
      <xdr:row>2</xdr:row>
      <xdr:rowOff>78740</xdr:rowOff>
    </xdr:from>
    <xdr:to>
      <xdr:col>9</xdr:col>
      <xdr:colOff>650240</xdr:colOff>
      <xdr:row>2</xdr:row>
      <xdr:rowOff>515620</xdr:rowOff>
    </xdr:to>
    <xdr:sp macro="[1]!Vložit_díl" textlink="">
      <xdr:nvSpPr>
        <xdr:cNvPr id="4" name="TextovéPole 3">
          <a:extLst>
            <a:ext uri="{FF2B5EF4-FFF2-40B4-BE49-F238E27FC236}">
              <a16:creationId xmlns:a16="http://schemas.microsoft.com/office/drawing/2014/main" id="{A12B1F0E-42F4-480A-A5EA-5595F1EA3D62}"/>
            </a:ext>
          </a:extLst>
        </xdr:cNvPr>
        <xdr:cNvSpPr txBox="1"/>
      </xdr:nvSpPr>
      <xdr:spPr>
        <a:xfrm>
          <a:off x="9872980" y="1193165"/>
          <a:ext cx="616585" cy="4368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Vložit</a:t>
          </a:r>
        </a:p>
        <a:p>
          <a:pPr algn="ctr"/>
          <a:r>
            <a:rPr lang="cs-CZ" sz="1050" b="1"/>
            <a:t>Díl</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33655</xdr:colOff>
      <xdr:row>2</xdr:row>
      <xdr:rowOff>78740</xdr:rowOff>
    </xdr:from>
    <xdr:to>
      <xdr:col>8</xdr:col>
      <xdr:colOff>694690</xdr:colOff>
      <xdr:row>2</xdr:row>
      <xdr:rowOff>526415</xdr:rowOff>
    </xdr:to>
    <xdr:sp macro="[16]!A_polozka" textlink="">
      <xdr:nvSpPr>
        <xdr:cNvPr id="2" name="TextovéPole 1">
          <a:extLst>
            <a:ext uri="{FF2B5EF4-FFF2-40B4-BE49-F238E27FC236}">
              <a16:creationId xmlns:a16="http://schemas.microsoft.com/office/drawing/2014/main" id="{E2FCF965-6884-4FB4-8F01-775E596F073B}"/>
            </a:ext>
          </a:extLst>
        </xdr:cNvPr>
        <xdr:cNvSpPr txBox="1"/>
      </xdr:nvSpPr>
      <xdr:spPr>
        <a:xfrm>
          <a:off x="9149080" y="1193165"/>
          <a:ext cx="66103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100" b="1"/>
            <a:t>Vložit </a:t>
          </a:r>
        </a:p>
        <a:p>
          <a:pPr algn="ctr"/>
          <a:r>
            <a:rPr lang="cs-CZ" sz="1100" b="1"/>
            <a:t>položku</a:t>
          </a:r>
        </a:p>
      </xdr:txBody>
    </xdr:sp>
    <xdr:clientData/>
  </xdr:twoCellAnchor>
  <xdr:twoCellAnchor>
    <xdr:from>
      <xdr:col>10</xdr:col>
      <xdr:colOff>33655</xdr:colOff>
      <xdr:row>2</xdr:row>
      <xdr:rowOff>55880</xdr:rowOff>
    </xdr:from>
    <xdr:to>
      <xdr:col>11</xdr:col>
      <xdr:colOff>1243965</xdr:colOff>
      <xdr:row>2</xdr:row>
      <xdr:rowOff>520065</xdr:rowOff>
    </xdr:to>
    <xdr:sp macro="[16]!B_soucetdil" textlink="">
      <xdr:nvSpPr>
        <xdr:cNvPr id="3" name="TextovéPole 2">
          <a:extLst>
            <a:ext uri="{FF2B5EF4-FFF2-40B4-BE49-F238E27FC236}">
              <a16:creationId xmlns:a16="http://schemas.microsoft.com/office/drawing/2014/main" id="{7DBE89A3-838A-4182-9966-2D4C83658A52}"/>
            </a:ext>
          </a:extLst>
        </xdr:cNvPr>
        <xdr:cNvSpPr txBox="1"/>
      </xdr:nvSpPr>
      <xdr:spPr>
        <a:xfrm>
          <a:off x="10549255" y="1170305"/>
          <a:ext cx="2067560" cy="46418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Součet za Díl </a:t>
          </a:r>
        </a:p>
        <a:p>
          <a:pPr algn="ctr"/>
          <a:r>
            <a:rPr lang="cs-CZ" sz="800" b="1"/>
            <a:t>včetně přepočítání Dílu</a:t>
          </a:r>
        </a:p>
      </xdr:txBody>
    </xdr:sp>
    <xdr:clientData/>
  </xdr:twoCellAnchor>
  <xdr:twoCellAnchor>
    <xdr:from>
      <xdr:col>9</xdr:col>
      <xdr:colOff>33655</xdr:colOff>
      <xdr:row>2</xdr:row>
      <xdr:rowOff>78740</xdr:rowOff>
    </xdr:from>
    <xdr:to>
      <xdr:col>9</xdr:col>
      <xdr:colOff>650240</xdr:colOff>
      <xdr:row>2</xdr:row>
      <xdr:rowOff>515620</xdr:rowOff>
    </xdr:to>
    <xdr:sp macro="[16]!Vložit_díl" textlink="">
      <xdr:nvSpPr>
        <xdr:cNvPr id="4" name="TextovéPole 3">
          <a:extLst>
            <a:ext uri="{FF2B5EF4-FFF2-40B4-BE49-F238E27FC236}">
              <a16:creationId xmlns:a16="http://schemas.microsoft.com/office/drawing/2014/main" id="{9099AF65-BEDD-4992-8C79-0107CC20033F}"/>
            </a:ext>
          </a:extLst>
        </xdr:cNvPr>
        <xdr:cNvSpPr txBox="1"/>
      </xdr:nvSpPr>
      <xdr:spPr>
        <a:xfrm>
          <a:off x="9872980" y="1193165"/>
          <a:ext cx="616585" cy="4368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Vložit</a:t>
          </a:r>
        </a:p>
        <a:p>
          <a:pPr algn="ctr"/>
          <a:r>
            <a:rPr lang="cs-CZ" sz="1050" b="1"/>
            <a:t>Díl</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18]!A_polozka" textlink="">
      <xdr:nvSpPr>
        <xdr:cNvPr id="2" name="TextovéPole 1">
          <a:extLst>
            <a:ext uri="{FF2B5EF4-FFF2-40B4-BE49-F238E27FC236}">
              <a16:creationId xmlns:a16="http://schemas.microsoft.com/office/drawing/2014/main" id="{C50E11AB-1316-42CF-A80D-223FD897C91C}"/>
            </a:ext>
          </a:extLst>
        </xdr:cNvPr>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18]!B_soucetdil" textlink="">
      <xdr:nvSpPr>
        <xdr:cNvPr id="3" name="TextovéPole 2">
          <a:extLst>
            <a:ext uri="{FF2B5EF4-FFF2-40B4-BE49-F238E27FC236}">
              <a16:creationId xmlns:a16="http://schemas.microsoft.com/office/drawing/2014/main" id="{AD58A478-7AA4-437A-8B77-A5F192D7F291}"/>
            </a:ext>
          </a:extLst>
        </xdr:cNvPr>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18]!Vložit_Díl" textlink="">
      <xdr:nvSpPr>
        <xdr:cNvPr id="4" name="TextovéPole 3">
          <a:extLst>
            <a:ext uri="{FF2B5EF4-FFF2-40B4-BE49-F238E27FC236}">
              <a16:creationId xmlns:a16="http://schemas.microsoft.com/office/drawing/2014/main" id="{F3EED4C8-DE94-4357-85B1-B92884AF1B1E}"/>
            </a:ext>
          </a:extLst>
        </xdr:cNvPr>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33655</xdr:colOff>
      <xdr:row>2</xdr:row>
      <xdr:rowOff>78740</xdr:rowOff>
    </xdr:from>
    <xdr:to>
      <xdr:col>8</xdr:col>
      <xdr:colOff>694690</xdr:colOff>
      <xdr:row>2</xdr:row>
      <xdr:rowOff>526415</xdr:rowOff>
    </xdr:to>
    <xdr:sp macro="[2]!A_polozka" textlink="">
      <xdr:nvSpPr>
        <xdr:cNvPr id="2" name="TextovéPole 1">
          <a:extLst>
            <a:ext uri="{FF2B5EF4-FFF2-40B4-BE49-F238E27FC236}">
              <a16:creationId xmlns:a16="http://schemas.microsoft.com/office/drawing/2014/main" id="{67A78F94-2F24-45A2-A8CC-67A8FD75C9F3}"/>
            </a:ext>
          </a:extLst>
        </xdr:cNvPr>
        <xdr:cNvSpPr txBox="1"/>
      </xdr:nvSpPr>
      <xdr:spPr>
        <a:xfrm>
          <a:off x="9149080" y="1193165"/>
          <a:ext cx="66103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100" b="1"/>
            <a:t>Vložit </a:t>
          </a:r>
        </a:p>
        <a:p>
          <a:pPr algn="ctr"/>
          <a:r>
            <a:rPr lang="cs-CZ" sz="1100" b="1"/>
            <a:t>položku</a:t>
          </a:r>
        </a:p>
      </xdr:txBody>
    </xdr:sp>
    <xdr:clientData/>
  </xdr:twoCellAnchor>
  <xdr:twoCellAnchor>
    <xdr:from>
      <xdr:col>10</xdr:col>
      <xdr:colOff>33655</xdr:colOff>
      <xdr:row>2</xdr:row>
      <xdr:rowOff>55880</xdr:rowOff>
    </xdr:from>
    <xdr:to>
      <xdr:col>11</xdr:col>
      <xdr:colOff>1243965</xdr:colOff>
      <xdr:row>2</xdr:row>
      <xdr:rowOff>520065</xdr:rowOff>
    </xdr:to>
    <xdr:sp macro="[2]!B_soucetdil" textlink="">
      <xdr:nvSpPr>
        <xdr:cNvPr id="3" name="TextovéPole 2">
          <a:extLst>
            <a:ext uri="{FF2B5EF4-FFF2-40B4-BE49-F238E27FC236}">
              <a16:creationId xmlns:a16="http://schemas.microsoft.com/office/drawing/2014/main" id="{0BDA4894-C78C-485B-9630-C02B5E8C0671}"/>
            </a:ext>
          </a:extLst>
        </xdr:cNvPr>
        <xdr:cNvSpPr txBox="1"/>
      </xdr:nvSpPr>
      <xdr:spPr>
        <a:xfrm>
          <a:off x="10549255" y="1170305"/>
          <a:ext cx="2067560" cy="46418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Součet za Díl </a:t>
          </a:r>
        </a:p>
        <a:p>
          <a:pPr algn="ctr"/>
          <a:r>
            <a:rPr lang="cs-CZ" sz="800" b="1"/>
            <a:t>včetně přepočítání Dílu</a:t>
          </a:r>
        </a:p>
      </xdr:txBody>
    </xdr:sp>
    <xdr:clientData/>
  </xdr:twoCellAnchor>
  <xdr:twoCellAnchor>
    <xdr:from>
      <xdr:col>9</xdr:col>
      <xdr:colOff>33655</xdr:colOff>
      <xdr:row>2</xdr:row>
      <xdr:rowOff>78740</xdr:rowOff>
    </xdr:from>
    <xdr:to>
      <xdr:col>9</xdr:col>
      <xdr:colOff>650240</xdr:colOff>
      <xdr:row>2</xdr:row>
      <xdr:rowOff>515620</xdr:rowOff>
    </xdr:to>
    <xdr:sp macro="[2]!Vložit_díl" textlink="">
      <xdr:nvSpPr>
        <xdr:cNvPr id="4" name="TextovéPole 3">
          <a:extLst>
            <a:ext uri="{FF2B5EF4-FFF2-40B4-BE49-F238E27FC236}">
              <a16:creationId xmlns:a16="http://schemas.microsoft.com/office/drawing/2014/main" id="{303457C7-2663-4783-A412-8D5CC185DD4A}"/>
            </a:ext>
          </a:extLst>
        </xdr:cNvPr>
        <xdr:cNvSpPr txBox="1"/>
      </xdr:nvSpPr>
      <xdr:spPr>
        <a:xfrm>
          <a:off x="9872980" y="1193165"/>
          <a:ext cx="616585" cy="4368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Vložit</a:t>
          </a:r>
        </a:p>
        <a:p>
          <a:pPr algn="ctr"/>
          <a:r>
            <a:rPr lang="cs-CZ" sz="1050" b="1"/>
            <a:t>Díl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33655</xdr:colOff>
      <xdr:row>2</xdr:row>
      <xdr:rowOff>78740</xdr:rowOff>
    </xdr:from>
    <xdr:to>
      <xdr:col>8</xdr:col>
      <xdr:colOff>694690</xdr:colOff>
      <xdr:row>2</xdr:row>
      <xdr:rowOff>526415</xdr:rowOff>
    </xdr:to>
    <xdr:sp macro="[3]!A_polozka" textlink="">
      <xdr:nvSpPr>
        <xdr:cNvPr id="2" name="TextovéPole 1">
          <a:extLst>
            <a:ext uri="{FF2B5EF4-FFF2-40B4-BE49-F238E27FC236}">
              <a16:creationId xmlns:a16="http://schemas.microsoft.com/office/drawing/2014/main" id="{4114EAC3-9D13-4DF2-A4F9-6707DA1A8756}"/>
            </a:ext>
          </a:extLst>
        </xdr:cNvPr>
        <xdr:cNvSpPr txBox="1"/>
      </xdr:nvSpPr>
      <xdr:spPr>
        <a:xfrm>
          <a:off x="9149080" y="1193165"/>
          <a:ext cx="66103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100" b="1"/>
            <a:t>Vložit </a:t>
          </a:r>
        </a:p>
        <a:p>
          <a:pPr algn="ctr"/>
          <a:r>
            <a:rPr lang="cs-CZ" sz="1100" b="1"/>
            <a:t>položku</a:t>
          </a:r>
        </a:p>
      </xdr:txBody>
    </xdr:sp>
    <xdr:clientData/>
  </xdr:twoCellAnchor>
  <xdr:twoCellAnchor>
    <xdr:from>
      <xdr:col>10</xdr:col>
      <xdr:colOff>33655</xdr:colOff>
      <xdr:row>2</xdr:row>
      <xdr:rowOff>55880</xdr:rowOff>
    </xdr:from>
    <xdr:to>
      <xdr:col>11</xdr:col>
      <xdr:colOff>1243965</xdr:colOff>
      <xdr:row>2</xdr:row>
      <xdr:rowOff>520065</xdr:rowOff>
    </xdr:to>
    <xdr:sp macro="[3]!B_soucetdil" textlink="">
      <xdr:nvSpPr>
        <xdr:cNvPr id="3" name="TextovéPole 2">
          <a:extLst>
            <a:ext uri="{FF2B5EF4-FFF2-40B4-BE49-F238E27FC236}">
              <a16:creationId xmlns:a16="http://schemas.microsoft.com/office/drawing/2014/main" id="{8901235F-327E-44BE-A3BD-DE9D4699C4F3}"/>
            </a:ext>
          </a:extLst>
        </xdr:cNvPr>
        <xdr:cNvSpPr txBox="1"/>
      </xdr:nvSpPr>
      <xdr:spPr>
        <a:xfrm>
          <a:off x="10549255" y="1170305"/>
          <a:ext cx="2067560" cy="46418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Součet za Díl </a:t>
          </a:r>
        </a:p>
        <a:p>
          <a:pPr algn="ctr"/>
          <a:r>
            <a:rPr lang="cs-CZ" sz="800" b="1"/>
            <a:t>včetně přepočítání Dílu</a:t>
          </a:r>
        </a:p>
      </xdr:txBody>
    </xdr:sp>
    <xdr:clientData/>
  </xdr:twoCellAnchor>
  <xdr:twoCellAnchor>
    <xdr:from>
      <xdr:col>9</xdr:col>
      <xdr:colOff>33655</xdr:colOff>
      <xdr:row>2</xdr:row>
      <xdr:rowOff>78740</xdr:rowOff>
    </xdr:from>
    <xdr:to>
      <xdr:col>9</xdr:col>
      <xdr:colOff>650240</xdr:colOff>
      <xdr:row>2</xdr:row>
      <xdr:rowOff>515620</xdr:rowOff>
    </xdr:to>
    <xdr:sp macro="[3]!Vložit_díl" textlink="">
      <xdr:nvSpPr>
        <xdr:cNvPr id="4" name="TextovéPole 3">
          <a:extLst>
            <a:ext uri="{FF2B5EF4-FFF2-40B4-BE49-F238E27FC236}">
              <a16:creationId xmlns:a16="http://schemas.microsoft.com/office/drawing/2014/main" id="{1BAC61A1-B826-4ED9-874A-84E4E949C2B3}"/>
            </a:ext>
          </a:extLst>
        </xdr:cNvPr>
        <xdr:cNvSpPr txBox="1"/>
      </xdr:nvSpPr>
      <xdr:spPr>
        <a:xfrm>
          <a:off x="9872980" y="1193165"/>
          <a:ext cx="616585" cy="4368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Vložit</a:t>
          </a:r>
        </a:p>
        <a:p>
          <a:pPr algn="ctr"/>
          <a:r>
            <a:rPr lang="cs-CZ" sz="1050" b="1"/>
            <a:t>Díl</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33655</xdr:colOff>
      <xdr:row>2</xdr:row>
      <xdr:rowOff>78740</xdr:rowOff>
    </xdr:from>
    <xdr:to>
      <xdr:col>8</xdr:col>
      <xdr:colOff>694690</xdr:colOff>
      <xdr:row>2</xdr:row>
      <xdr:rowOff>526415</xdr:rowOff>
    </xdr:to>
    <xdr:sp macro="[4]!A_polozka" textlink="">
      <xdr:nvSpPr>
        <xdr:cNvPr id="2" name="TextovéPole 1">
          <a:extLst>
            <a:ext uri="{FF2B5EF4-FFF2-40B4-BE49-F238E27FC236}">
              <a16:creationId xmlns:a16="http://schemas.microsoft.com/office/drawing/2014/main" id="{05ACB1AC-DF47-4329-9AAE-334CA09EE47C}"/>
            </a:ext>
          </a:extLst>
        </xdr:cNvPr>
        <xdr:cNvSpPr txBox="1"/>
      </xdr:nvSpPr>
      <xdr:spPr>
        <a:xfrm>
          <a:off x="9149080" y="1193165"/>
          <a:ext cx="66103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100" b="1"/>
            <a:t>Vložit </a:t>
          </a:r>
        </a:p>
        <a:p>
          <a:pPr algn="ctr"/>
          <a:r>
            <a:rPr lang="cs-CZ" sz="1100" b="1"/>
            <a:t>položku</a:t>
          </a:r>
        </a:p>
      </xdr:txBody>
    </xdr:sp>
    <xdr:clientData/>
  </xdr:twoCellAnchor>
  <xdr:twoCellAnchor>
    <xdr:from>
      <xdr:col>10</xdr:col>
      <xdr:colOff>33655</xdr:colOff>
      <xdr:row>2</xdr:row>
      <xdr:rowOff>55880</xdr:rowOff>
    </xdr:from>
    <xdr:to>
      <xdr:col>11</xdr:col>
      <xdr:colOff>1243965</xdr:colOff>
      <xdr:row>2</xdr:row>
      <xdr:rowOff>520065</xdr:rowOff>
    </xdr:to>
    <xdr:sp macro="[4]!B_soucetdil" textlink="">
      <xdr:nvSpPr>
        <xdr:cNvPr id="3" name="TextovéPole 2">
          <a:extLst>
            <a:ext uri="{FF2B5EF4-FFF2-40B4-BE49-F238E27FC236}">
              <a16:creationId xmlns:a16="http://schemas.microsoft.com/office/drawing/2014/main" id="{F892DEAA-B6B5-4F9F-8A4F-9C7CDD7756E0}"/>
            </a:ext>
          </a:extLst>
        </xdr:cNvPr>
        <xdr:cNvSpPr txBox="1"/>
      </xdr:nvSpPr>
      <xdr:spPr>
        <a:xfrm>
          <a:off x="10549255" y="1170305"/>
          <a:ext cx="2067560" cy="46418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Součet za Díl </a:t>
          </a:r>
        </a:p>
        <a:p>
          <a:pPr algn="ctr"/>
          <a:r>
            <a:rPr lang="cs-CZ" sz="800" b="1"/>
            <a:t>včetně přepočítání Dílu</a:t>
          </a:r>
        </a:p>
      </xdr:txBody>
    </xdr:sp>
    <xdr:clientData/>
  </xdr:twoCellAnchor>
  <xdr:twoCellAnchor>
    <xdr:from>
      <xdr:col>9</xdr:col>
      <xdr:colOff>33655</xdr:colOff>
      <xdr:row>2</xdr:row>
      <xdr:rowOff>78740</xdr:rowOff>
    </xdr:from>
    <xdr:to>
      <xdr:col>9</xdr:col>
      <xdr:colOff>650240</xdr:colOff>
      <xdr:row>2</xdr:row>
      <xdr:rowOff>515620</xdr:rowOff>
    </xdr:to>
    <xdr:sp macro="[4]!Vložit_díl" textlink="">
      <xdr:nvSpPr>
        <xdr:cNvPr id="4" name="TextovéPole 3">
          <a:extLst>
            <a:ext uri="{FF2B5EF4-FFF2-40B4-BE49-F238E27FC236}">
              <a16:creationId xmlns:a16="http://schemas.microsoft.com/office/drawing/2014/main" id="{17FF2BB8-9A44-4F21-A3FE-7B48693DFF4F}"/>
            </a:ext>
          </a:extLst>
        </xdr:cNvPr>
        <xdr:cNvSpPr txBox="1"/>
      </xdr:nvSpPr>
      <xdr:spPr>
        <a:xfrm>
          <a:off x="9872980" y="1193165"/>
          <a:ext cx="616585" cy="4368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Vložit</a:t>
          </a:r>
        </a:p>
        <a:p>
          <a:pPr algn="ctr"/>
          <a:r>
            <a:rPr lang="cs-CZ" sz="1050" b="1"/>
            <a:t>Díl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33655</xdr:colOff>
      <xdr:row>2</xdr:row>
      <xdr:rowOff>78740</xdr:rowOff>
    </xdr:from>
    <xdr:to>
      <xdr:col>8</xdr:col>
      <xdr:colOff>694690</xdr:colOff>
      <xdr:row>2</xdr:row>
      <xdr:rowOff>526415</xdr:rowOff>
    </xdr:to>
    <xdr:sp macro="[5]!A_polozka" textlink="">
      <xdr:nvSpPr>
        <xdr:cNvPr id="2" name="TextovéPole 1">
          <a:extLst>
            <a:ext uri="{FF2B5EF4-FFF2-40B4-BE49-F238E27FC236}">
              <a16:creationId xmlns:a16="http://schemas.microsoft.com/office/drawing/2014/main" id="{4C6588E3-BDCA-48FA-AF44-A3E816933FF7}"/>
            </a:ext>
          </a:extLst>
        </xdr:cNvPr>
        <xdr:cNvSpPr txBox="1"/>
      </xdr:nvSpPr>
      <xdr:spPr>
        <a:xfrm>
          <a:off x="9149080" y="1193165"/>
          <a:ext cx="66103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100" b="1"/>
            <a:t>Vložit </a:t>
          </a:r>
        </a:p>
        <a:p>
          <a:pPr algn="ctr"/>
          <a:r>
            <a:rPr lang="cs-CZ" sz="1100" b="1"/>
            <a:t>položku</a:t>
          </a:r>
        </a:p>
      </xdr:txBody>
    </xdr:sp>
    <xdr:clientData/>
  </xdr:twoCellAnchor>
  <xdr:twoCellAnchor>
    <xdr:from>
      <xdr:col>10</xdr:col>
      <xdr:colOff>33655</xdr:colOff>
      <xdr:row>2</xdr:row>
      <xdr:rowOff>55880</xdr:rowOff>
    </xdr:from>
    <xdr:to>
      <xdr:col>11</xdr:col>
      <xdr:colOff>1243965</xdr:colOff>
      <xdr:row>2</xdr:row>
      <xdr:rowOff>520065</xdr:rowOff>
    </xdr:to>
    <xdr:sp macro="[5]!B_soucetdil" textlink="">
      <xdr:nvSpPr>
        <xdr:cNvPr id="3" name="TextovéPole 2">
          <a:extLst>
            <a:ext uri="{FF2B5EF4-FFF2-40B4-BE49-F238E27FC236}">
              <a16:creationId xmlns:a16="http://schemas.microsoft.com/office/drawing/2014/main" id="{B7F21606-5B7B-4678-933C-F6945E80C15B}"/>
            </a:ext>
          </a:extLst>
        </xdr:cNvPr>
        <xdr:cNvSpPr txBox="1"/>
      </xdr:nvSpPr>
      <xdr:spPr>
        <a:xfrm>
          <a:off x="10549255" y="1170305"/>
          <a:ext cx="2067560" cy="46418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Součet za Díl </a:t>
          </a:r>
        </a:p>
        <a:p>
          <a:pPr algn="ctr"/>
          <a:r>
            <a:rPr lang="cs-CZ" sz="800" b="1"/>
            <a:t>včetně přepočítání Dílu</a:t>
          </a:r>
        </a:p>
      </xdr:txBody>
    </xdr:sp>
    <xdr:clientData/>
  </xdr:twoCellAnchor>
  <xdr:twoCellAnchor>
    <xdr:from>
      <xdr:col>9</xdr:col>
      <xdr:colOff>33655</xdr:colOff>
      <xdr:row>2</xdr:row>
      <xdr:rowOff>78740</xdr:rowOff>
    </xdr:from>
    <xdr:to>
      <xdr:col>9</xdr:col>
      <xdr:colOff>650240</xdr:colOff>
      <xdr:row>2</xdr:row>
      <xdr:rowOff>515620</xdr:rowOff>
    </xdr:to>
    <xdr:sp macro="[5]!Vložit_díl" textlink="">
      <xdr:nvSpPr>
        <xdr:cNvPr id="4" name="TextovéPole 3">
          <a:extLst>
            <a:ext uri="{FF2B5EF4-FFF2-40B4-BE49-F238E27FC236}">
              <a16:creationId xmlns:a16="http://schemas.microsoft.com/office/drawing/2014/main" id="{D850C087-ABB4-4853-887C-3C87F9B3ADC1}"/>
            </a:ext>
          </a:extLst>
        </xdr:cNvPr>
        <xdr:cNvSpPr txBox="1"/>
      </xdr:nvSpPr>
      <xdr:spPr>
        <a:xfrm>
          <a:off x="9872980" y="1193165"/>
          <a:ext cx="616585" cy="4368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Vložit</a:t>
          </a:r>
        </a:p>
        <a:p>
          <a:pPr algn="ctr"/>
          <a:r>
            <a:rPr lang="cs-CZ" sz="1050" b="1"/>
            <a:t>Díl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33655</xdr:colOff>
      <xdr:row>2</xdr:row>
      <xdr:rowOff>78740</xdr:rowOff>
    </xdr:from>
    <xdr:to>
      <xdr:col>8</xdr:col>
      <xdr:colOff>694690</xdr:colOff>
      <xdr:row>2</xdr:row>
      <xdr:rowOff>526415</xdr:rowOff>
    </xdr:to>
    <xdr:sp macro="[7]!A_polozka" textlink="">
      <xdr:nvSpPr>
        <xdr:cNvPr id="2" name="TextovéPole 1">
          <a:extLst>
            <a:ext uri="{FF2B5EF4-FFF2-40B4-BE49-F238E27FC236}">
              <a16:creationId xmlns:a16="http://schemas.microsoft.com/office/drawing/2014/main" id="{D59AC394-16C3-422E-8445-C09C13B42870}"/>
            </a:ext>
          </a:extLst>
        </xdr:cNvPr>
        <xdr:cNvSpPr txBox="1"/>
      </xdr:nvSpPr>
      <xdr:spPr>
        <a:xfrm>
          <a:off x="9149080" y="1193165"/>
          <a:ext cx="66103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100" b="1"/>
            <a:t>Vložit </a:t>
          </a:r>
        </a:p>
        <a:p>
          <a:pPr algn="ctr"/>
          <a:r>
            <a:rPr lang="cs-CZ" sz="1100" b="1"/>
            <a:t>položku</a:t>
          </a:r>
        </a:p>
      </xdr:txBody>
    </xdr:sp>
    <xdr:clientData/>
  </xdr:twoCellAnchor>
  <xdr:twoCellAnchor>
    <xdr:from>
      <xdr:col>10</xdr:col>
      <xdr:colOff>33655</xdr:colOff>
      <xdr:row>2</xdr:row>
      <xdr:rowOff>55880</xdr:rowOff>
    </xdr:from>
    <xdr:to>
      <xdr:col>11</xdr:col>
      <xdr:colOff>1243965</xdr:colOff>
      <xdr:row>2</xdr:row>
      <xdr:rowOff>520065</xdr:rowOff>
    </xdr:to>
    <xdr:sp macro="[7]!B_soucetdil" textlink="">
      <xdr:nvSpPr>
        <xdr:cNvPr id="3" name="TextovéPole 2">
          <a:extLst>
            <a:ext uri="{FF2B5EF4-FFF2-40B4-BE49-F238E27FC236}">
              <a16:creationId xmlns:a16="http://schemas.microsoft.com/office/drawing/2014/main" id="{140E1276-DF6E-4AA2-94E4-4E43CA92AFF1}"/>
            </a:ext>
          </a:extLst>
        </xdr:cNvPr>
        <xdr:cNvSpPr txBox="1"/>
      </xdr:nvSpPr>
      <xdr:spPr>
        <a:xfrm>
          <a:off x="10549255" y="1170305"/>
          <a:ext cx="2067560" cy="46418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Součet za Díl </a:t>
          </a:r>
        </a:p>
        <a:p>
          <a:pPr algn="ctr"/>
          <a:r>
            <a:rPr lang="cs-CZ" sz="800" b="1"/>
            <a:t>včetně přepočítání Dílu</a:t>
          </a:r>
        </a:p>
      </xdr:txBody>
    </xdr:sp>
    <xdr:clientData/>
  </xdr:twoCellAnchor>
  <xdr:twoCellAnchor>
    <xdr:from>
      <xdr:col>9</xdr:col>
      <xdr:colOff>33655</xdr:colOff>
      <xdr:row>2</xdr:row>
      <xdr:rowOff>78740</xdr:rowOff>
    </xdr:from>
    <xdr:to>
      <xdr:col>9</xdr:col>
      <xdr:colOff>650240</xdr:colOff>
      <xdr:row>2</xdr:row>
      <xdr:rowOff>515620</xdr:rowOff>
    </xdr:to>
    <xdr:sp macro="[7]!Vložit_díl" textlink="">
      <xdr:nvSpPr>
        <xdr:cNvPr id="4" name="TextovéPole 3">
          <a:extLst>
            <a:ext uri="{FF2B5EF4-FFF2-40B4-BE49-F238E27FC236}">
              <a16:creationId xmlns:a16="http://schemas.microsoft.com/office/drawing/2014/main" id="{A80AFCD2-FDCC-4C0C-9071-26A617A7F914}"/>
            </a:ext>
          </a:extLst>
        </xdr:cNvPr>
        <xdr:cNvSpPr txBox="1"/>
      </xdr:nvSpPr>
      <xdr:spPr>
        <a:xfrm>
          <a:off x="9872980" y="1193165"/>
          <a:ext cx="616585" cy="4368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Vložit</a:t>
          </a:r>
        </a:p>
        <a:p>
          <a:pPr algn="ctr"/>
          <a:r>
            <a:rPr lang="cs-CZ" sz="1050" b="1"/>
            <a:t>Díl</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33655</xdr:colOff>
      <xdr:row>2</xdr:row>
      <xdr:rowOff>78740</xdr:rowOff>
    </xdr:from>
    <xdr:to>
      <xdr:col>8</xdr:col>
      <xdr:colOff>694690</xdr:colOff>
      <xdr:row>2</xdr:row>
      <xdr:rowOff>526415</xdr:rowOff>
    </xdr:to>
    <xdr:sp macro="[9]!A_polozka" textlink="">
      <xdr:nvSpPr>
        <xdr:cNvPr id="2" name="TextovéPole 1">
          <a:extLst>
            <a:ext uri="{FF2B5EF4-FFF2-40B4-BE49-F238E27FC236}">
              <a16:creationId xmlns:a16="http://schemas.microsoft.com/office/drawing/2014/main" id="{73936895-B43B-4FAE-800B-69BBFCDDD121}"/>
            </a:ext>
          </a:extLst>
        </xdr:cNvPr>
        <xdr:cNvSpPr txBox="1"/>
      </xdr:nvSpPr>
      <xdr:spPr>
        <a:xfrm>
          <a:off x="9149080" y="1193165"/>
          <a:ext cx="66103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100" b="1"/>
            <a:t>Vložit </a:t>
          </a:r>
        </a:p>
        <a:p>
          <a:pPr algn="ctr"/>
          <a:r>
            <a:rPr lang="cs-CZ" sz="1100" b="1"/>
            <a:t>položku</a:t>
          </a:r>
        </a:p>
      </xdr:txBody>
    </xdr:sp>
    <xdr:clientData/>
  </xdr:twoCellAnchor>
  <xdr:twoCellAnchor>
    <xdr:from>
      <xdr:col>10</xdr:col>
      <xdr:colOff>33655</xdr:colOff>
      <xdr:row>2</xdr:row>
      <xdr:rowOff>55880</xdr:rowOff>
    </xdr:from>
    <xdr:to>
      <xdr:col>11</xdr:col>
      <xdr:colOff>1243965</xdr:colOff>
      <xdr:row>2</xdr:row>
      <xdr:rowOff>520065</xdr:rowOff>
    </xdr:to>
    <xdr:sp macro="[9]!B_soucetdil" textlink="">
      <xdr:nvSpPr>
        <xdr:cNvPr id="3" name="TextovéPole 2">
          <a:extLst>
            <a:ext uri="{FF2B5EF4-FFF2-40B4-BE49-F238E27FC236}">
              <a16:creationId xmlns:a16="http://schemas.microsoft.com/office/drawing/2014/main" id="{9DD8E4AB-F1B8-4122-9DC5-616E67CE994F}"/>
            </a:ext>
          </a:extLst>
        </xdr:cNvPr>
        <xdr:cNvSpPr txBox="1"/>
      </xdr:nvSpPr>
      <xdr:spPr>
        <a:xfrm>
          <a:off x="10549255" y="1170305"/>
          <a:ext cx="2067560" cy="46418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Součet za Díl </a:t>
          </a:r>
        </a:p>
        <a:p>
          <a:pPr algn="ctr"/>
          <a:r>
            <a:rPr lang="cs-CZ" sz="800" b="1"/>
            <a:t>včetně přepočítání Dílu</a:t>
          </a:r>
        </a:p>
      </xdr:txBody>
    </xdr:sp>
    <xdr:clientData/>
  </xdr:twoCellAnchor>
  <xdr:twoCellAnchor>
    <xdr:from>
      <xdr:col>9</xdr:col>
      <xdr:colOff>33655</xdr:colOff>
      <xdr:row>2</xdr:row>
      <xdr:rowOff>78740</xdr:rowOff>
    </xdr:from>
    <xdr:to>
      <xdr:col>9</xdr:col>
      <xdr:colOff>650240</xdr:colOff>
      <xdr:row>2</xdr:row>
      <xdr:rowOff>515620</xdr:rowOff>
    </xdr:to>
    <xdr:sp macro="[9]!Vložit_díl" textlink="">
      <xdr:nvSpPr>
        <xdr:cNvPr id="4" name="TextovéPole 3">
          <a:extLst>
            <a:ext uri="{FF2B5EF4-FFF2-40B4-BE49-F238E27FC236}">
              <a16:creationId xmlns:a16="http://schemas.microsoft.com/office/drawing/2014/main" id="{0C3500EA-3756-4792-B193-BB9EEDACC259}"/>
            </a:ext>
          </a:extLst>
        </xdr:cNvPr>
        <xdr:cNvSpPr txBox="1"/>
      </xdr:nvSpPr>
      <xdr:spPr>
        <a:xfrm>
          <a:off x="9872980" y="1193165"/>
          <a:ext cx="616585" cy="4368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Vložit</a:t>
          </a:r>
        </a:p>
        <a:p>
          <a:pPr algn="ctr"/>
          <a:r>
            <a:rPr lang="cs-CZ" sz="1050" b="1"/>
            <a:t>Díl</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33655</xdr:colOff>
      <xdr:row>2</xdr:row>
      <xdr:rowOff>78740</xdr:rowOff>
    </xdr:from>
    <xdr:to>
      <xdr:col>8</xdr:col>
      <xdr:colOff>694690</xdr:colOff>
      <xdr:row>2</xdr:row>
      <xdr:rowOff>526415</xdr:rowOff>
    </xdr:to>
    <xdr:sp macro="[12]!A_polozka" textlink="">
      <xdr:nvSpPr>
        <xdr:cNvPr id="2" name="TextovéPole 1">
          <a:extLst>
            <a:ext uri="{FF2B5EF4-FFF2-40B4-BE49-F238E27FC236}">
              <a16:creationId xmlns:a16="http://schemas.microsoft.com/office/drawing/2014/main" id="{CF00F04B-A7ED-4262-80B9-4A072F8A9781}"/>
            </a:ext>
          </a:extLst>
        </xdr:cNvPr>
        <xdr:cNvSpPr txBox="1"/>
      </xdr:nvSpPr>
      <xdr:spPr>
        <a:xfrm>
          <a:off x="9149080" y="1193165"/>
          <a:ext cx="66103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100" b="1"/>
            <a:t>Vložit </a:t>
          </a:r>
        </a:p>
        <a:p>
          <a:pPr algn="ctr"/>
          <a:r>
            <a:rPr lang="cs-CZ" sz="1100" b="1"/>
            <a:t>položku</a:t>
          </a:r>
        </a:p>
      </xdr:txBody>
    </xdr:sp>
    <xdr:clientData/>
  </xdr:twoCellAnchor>
  <xdr:twoCellAnchor>
    <xdr:from>
      <xdr:col>10</xdr:col>
      <xdr:colOff>33655</xdr:colOff>
      <xdr:row>2</xdr:row>
      <xdr:rowOff>55880</xdr:rowOff>
    </xdr:from>
    <xdr:to>
      <xdr:col>11</xdr:col>
      <xdr:colOff>1243965</xdr:colOff>
      <xdr:row>2</xdr:row>
      <xdr:rowOff>520065</xdr:rowOff>
    </xdr:to>
    <xdr:sp macro="[12]!B_soucetdil" textlink="">
      <xdr:nvSpPr>
        <xdr:cNvPr id="3" name="TextovéPole 2">
          <a:extLst>
            <a:ext uri="{FF2B5EF4-FFF2-40B4-BE49-F238E27FC236}">
              <a16:creationId xmlns:a16="http://schemas.microsoft.com/office/drawing/2014/main" id="{C842ADAB-BADF-45F0-BDDC-B50E7FDE4037}"/>
            </a:ext>
          </a:extLst>
        </xdr:cNvPr>
        <xdr:cNvSpPr txBox="1"/>
      </xdr:nvSpPr>
      <xdr:spPr>
        <a:xfrm>
          <a:off x="10549255" y="1170305"/>
          <a:ext cx="2067560" cy="46418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Součet za Díl </a:t>
          </a:r>
        </a:p>
        <a:p>
          <a:pPr algn="ctr"/>
          <a:r>
            <a:rPr lang="cs-CZ" sz="800" b="1"/>
            <a:t>včetně přepočítání Dílu</a:t>
          </a:r>
        </a:p>
      </xdr:txBody>
    </xdr:sp>
    <xdr:clientData/>
  </xdr:twoCellAnchor>
  <xdr:twoCellAnchor>
    <xdr:from>
      <xdr:col>9</xdr:col>
      <xdr:colOff>33655</xdr:colOff>
      <xdr:row>2</xdr:row>
      <xdr:rowOff>78740</xdr:rowOff>
    </xdr:from>
    <xdr:to>
      <xdr:col>9</xdr:col>
      <xdr:colOff>650240</xdr:colOff>
      <xdr:row>2</xdr:row>
      <xdr:rowOff>515620</xdr:rowOff>
    </xdr:to>
    <xdr:sp macro="[12]!Vložit_díl" textlink="">
      <xdr:nvSpPr>
        <xdr:cNvPr id="4" name="TextovéPole 3">
          <a:extLst>
            <a:ext uri="{FF2B5EF4-FFF2-40B4-BE49-F238E27FC236}">
              <a16:creationId xmlns:a16="http://schemas.microsoft.com/office/drawing/2014/main" id="{0589E8D6-6A27-41D0-90C7-7BB4CAA6B86D}"/>
            </a:ext>
          </a:extLst>
        </xdr:cNvPr>
        <xdr:cNvSpPr txBox="1"/>
      </xdr:nvSpPr>
      <xdr:spPr>
        <a:xfrm>
          <a:off x="9872980" y="1193165"/>
          <a:ext cx="616585" cy="4368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Vložit</a:t>
          </a:r>
        </a:p>
        <a:p>
          <a:pPr algn="ctr"/>
          <a:r>
            <a:rPr lang="cs-CZ" sz="1050" b="1"/>
            <a:t>Díl</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33655</xdr:colOff>
      <xdr:row>2</xdr:row>
      <xdr:rowOff>78740</xdr:rowOff>
    </xdr:from>
    <xdr:to>
      <xdr:col>8</xdr:col>
      <xdr:colOff>694690</xdr:colOff>
      <xdr:row>2</xdr:row>
      <xdr:rowOff>526415</xdr:rowOff>
    </xdr:to>
    <xdr:sp macro="[14]!A_polozka" textlink="">
      <xdr:nvSpPr>
        <xdr:cNvPr id="2" name="TextovéPole 1">
          <a:extLst>
            <a:ext uri="{FF2B5EF4-FFF2-40B4-BE49-F238E27FC236}">
              <a16:creationId xmlns:a16="http://schemas.microsoft.com/office/drawing/2014/main" id="{D7866DD6-60C4-4CA8-804B-6E8DADF7C5D1}"/>
            </a:ext>
          </a:extLst>
        </xdr:cNvPr>
        <xdr:cNvSpPr txBox="1"/>
      </xdr:nvSpPr>
      <xdr:spPr>
        <a:xfrm>
          <a:off x="9149080" y="1193165"/>
          <a:ext cx="66103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100" b="1"/>
            <a:t>Vložit </a:t>
          </a:r>
        </a:p>
        <a:p>
          <a:pPr algn="ctr"/>
          <a:r>
            <a:rPr lang="cs-CZ" sz="1100" b="1"/>
            <a:t>položku</a:t>
          </a:r>
        </a:p>
      </xdr:txBody>
    </xdr:sp>
    <xdr:clientData/>
  </xdr:twoCellAnchor>
  <xdr:twoCellAnchor>
    <xdr:from>
      <xdr:col>10</xdr:col>
      <xdr:colOff>33655</xdr:colOff>
      <xdr:row>2</xdr:row>
      <xdr:rowOff>55880</xdr:rowOff>
    </xdr:from>
    <xdr:to>
      <xdr:col>11</xdr:col>
      <xdr:colOff>1243965</xdr:colOff>
      <xdr:row>2</xdr:row>
      <xdr:rowOff>520065</xdr:rowOff>
    </xdr:to>
    <xdr:sp macro="[14]!B_soucetdil" textlink="">
      <xdr:nvSpPr>
        <xdr:cNvPr id="3" name="TextovéPole 2">
          <a:extLst>
            <a:ext uri="{FF2B5EF4-FFF2-40B4-BE49-F238E27FC236}">
              <a16:creationId xmlns:a16="http://schemas.microsoft.com/office/drawing/2014/main" id="{39FFFF4F-EA34-41BE-AA48-83C2475D739E}"/>
            </a:ext>
          </a:extLst>
        </xdr:cNvPr>
        <xdr:cNvSpPr txBox="1"/>
      </xdr:nvSpPr>
      <xdr:spPr>
        <a:xfrm>
          <a:off x="10549255" y="1170305"/>
          <a:ext cx="2067560" cy="46418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Součet za Díl </a:t>
          </a:r>
        </a:p>
        <a:p>
          <a:pPr algn="ctr"/>
          <a:r>
            <a:rPr lang="cs-CZ" sz="800" b="1"/>
            <a:t>včetně přepočítání Dílu</a:t>
          </a:r>
        </a:p>
      </xdr:txBody>
    </xdr:sp>
    <xdr:clientData/>
  </xdr:twoCellAnchor>
  <xdr:twoCellAnchor>
    <xdr:from>
      <xdr:col>9</xdr:col>
      <xdr:colOff>33655</xdr:colOff>
      <xdr:row>2</xdr:row>
      <xdr:rowOff>78740</xdr:rowOff>
    </xdr:from>
    <xdr:to>
      <xdr:col>9</xdr:col>
      <xdr:colOff>650240</xdr:colOff>
      <xdr:row>2</xdr:row>
      <xdr:rowOff>515620</xdr:rowOff>
    </xdr:to>
    <xdr:sp macro="[14]!Vložit_díl" textlink="">
      <xdr:nvSpPr>
        <xdr:cNvPr id="4" name="TextovéPole 3">
          <a:extLst>
            <a:ext uri="{FF2B5EF4-FFF2-40B4-BE49-F238E27FC236}">
              <a16:creationId xmlns:a16="http://schemas.microsoft.com/office/drawing/2014/main" id="{06E170D8-1A58-496C-9752-B13EC680C99C}"/>
            </a:ext>
          </a:extLst>
        </xdr:cNvPr>
        <xdr:cNvSpPr txBox="1"/>
      </xdr:nvSpPr>
      <xdr:spPr>
        <a:xfrm>
          <a:off x="9872980" y="1193165"/>
          <a:ext cx="616585" cy="4368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noAutofit/>
        </a:bodyPr>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PS%2001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PS%2001_SPaD.xlsm"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3-1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3-1_SPaD.xlsm"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3-2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3-2_SPaD.xlsm"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3-3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3-3_SPaD.xlsm"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3-4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3-4_SPaD.xlsm" TargetMode="External"/></Relationships>
</file>

<file path=xl/externalLinks/_rels/externalLink14.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4-1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4-1_SPaD.xlsm" TargetMode="External"/></Relationships>
</file>

<file path=xl/externalLinks/_rels/externalLink15.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4-2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4-2_SPaD.xlsm" TargetMode="External"/></Relationships>
</file>

<file path=xl/externalLinks/_rels/externalLink16.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5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5_SPaD.xlsm" TargetMode="External"/></Relationships>
</file>

<file path=xl/externalLinks/_rels/externalLink17.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6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6_SPaD.xlsm" TargetMode="External"/></Relationships>
</file>

<file path=xl/externalLinks/_rels/externalLink18.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98-98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98-98_SPaD.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PS%2002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PS%2002_SPaD.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PS%2003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PS%2003_SPaD.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1-1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1-1_SPaD.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1-1.1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1-1.1_SPaD.xlsm"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1-2.1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1-2.1_SPaD.xlsm"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1-2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1-2_SPaD.xlsm"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2-1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2-1_SPaD.xlsm"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P:\Projekty\2020\2003079%20P7566_km%2072,988\-02_revize01_technolog_cast\rozpo&#269;ty\P7566_Aktualizace_rozpo&#269;t&#367;\P7566_Aktualizace_rozpo&#269;t&#367;\otev&#345;en&#283;\SO_PS_v&#253;kazy_nov&#233;\SO%2002-2_SPaD.xlsm" TargetMode="External"/><Relationship Id="rId1" Type="http://schemas.openxmlformats.org/officeDocument/2006/relationships/externalLinkPath" Target="file:///\\OR00000OVANT012\_Public2\Projekty\2020\2003079%20P7566_km%2072,988\-02_revize01_technolog_cast\rozpo&#269;ty\P7566_Aktualizace_rozpo&#269;t&#367;\P7566_Aktualizace_rozpo&#269;t&#367;\otev&#345;en&#283;\SO_PS_v&#253;kazy_nov&#233;\SO%2002-2_SP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S 01"/>
      <sheetName val="Kategorie monitoringu"/>
      <sheetName val="hide"/>
      <sheetName val="PS 01_SPaD"/>
    </sheetNames>
    <definedNames>
      <definedName name="A_polozka"/>
      <definedName name="B_soucetdil"/>
      <definedName name="Vložit_díl"/>
    </defined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3-1"/>
      <sheetName val="Kategorie monitoringu"/>
      <sheetName val="hide"/>
    </sheet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3-2"/>
      <sheetName val="Kategorie monitoringu"/>
      <sheetName val="hide"/>
    </sheet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3-3"/>
      <sheetName val="Kategorie monitoringu"/>
      <sheetName val="hide"/>
      <sheetName val="SO 03-3_SPaD"/>
    </sheetNames>
    <definedNames>
      <definedName name="A_polozka"/>
      <definedName name="B_soucetdil"/>
      <definedName name="Vložit_díl"/>
    </defined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 sheetId="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3-4"/>
      <sheetName val="Kategorie monitoringu"/>
      <sheetName val="hide"/>
    </sheet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4-1"/>
      <sheetName val="Kategorie monitoringu"/>
      <sheetName val="hide"/>
      <sheetName val="SO 04-1_SPaD"/>
    </sheetNames>
    <definedNames>
      <definedName name="A_polozka"/>
      <definedName name="B_soucetdil"/>
      <definedName name="Vložit_díl"/>
    </defined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 sheetId="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4-2"/>
      <sheetName val="Kategorie monitoringu"/>
      <sheetName val="hide"/>
    </sheet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5"/>
      <sheetName val="Kategorie monitoringu"/>
      <sheetName val="hide"/>
      <sheetName val="SO 05_SPaD"/>
    </sheetNames>
    <definedNames>
      <definedName name="A_polozka"/>
      <definedName name="B_soucetdil"/>
      <definedName name="Vložit_díl"/>
    </defined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6"/>
      <sheetName val="Kategorie monitoringu"/>
      <sheetName val="hide"/>
    </sheet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98-98"/>
      <sheetName val="Kategorie monitoringu"/>
      <sheetName val="hide"/>
      <sheetName val="SO 98-98_SPaD"/>
    </sheetNames>
    <definedNames>
      <definedName name="A_polozka"/>
      <definedName name="B_soucetdil"/>
      <definedName name="Vložit_Díl"/>
    </definedNames>
    <sheetDataSet>
      <sheetData sheetId="0"/>
      <sheetData sheetId="1">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S 02"/>
      <sheetName val="Kategorie monitoringu"/>
      <sheetName val="hide"/>
      <sheetName val="PS 02_SPaD"/>
    </sheetNames>
    <definedNames>
      <definedName name="A_polozka"/>
      <definedName name="B_soucetdil"/>
      <definedName name="Vložit_díl"/>
    </defined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S 03"/>
      <sheetName val="Kategorie monitoringu"/>
      <sheetName val="hide"/>
      <sheetName val="PS 03_SPaD"/>
    </sheetNames>
    <definedNames>
      <definedName name="A_polozka"/>
      <definedName name="B_soucetdil"/>
      <definedName name="Vložit_díl"/>
    </defined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1-1"/>
      <sheetName val="Kategorie monitoringu"/>
      <sheetName val="hide"/>
      <sheetName val="SO 01-1_SPaD"/>
    </sheetNames>
    <definedNames>
      <definedName name="A_polozka"/>
      <definedName name="B_soucetdil"/>
      <definedName name="Vložit_díl"/>
    </defined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1-1.1"/>
      <sheetName val="Kategorie monitoringu"/>
      <sheetName val="hide"/>
      <sheetName val="SO 01-1.1_SPaD"/>
    </sheetNames>
    <definedNames>
      <definedName name="A_polozka"/>
      <definedName name="B_soucetdil"/>
      <definedName name="Vložit_díl"/>
    </defined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1-2.1"/>
      <sheetName val="Kategorie monitoringu"/>
      <sheetName val="hide"/>
    </sheet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1-2"/>
      <sheetName val="Kategorie monitoringu"/>
      <sheetName val="hide"/>
      <sheetName val="SO 01-2_SPaD"/>
    </sheetNames>
    <definedNames>
      <definedName name="A_polozka"/>
      <definedName name="B_soucetdil"/>
      <definedName name="Vložit_díl"/>
    </defined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2-1"/>
      <sheetName val="Kategorie monitoringu"/>
      <sheetName val="hide"/>
    </sheet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O 02-2"/>
      <sheetName val="Kategorie monitoringu"/>
      <sheetName val="hide"/>
      <sheetName val="SO 02-2_SPaD"/>
    </sheetNames>
    <definedNames>
      <definedName name="A_polozka"/>
      <definedName name="B_soucetdil"/>
      <definedName name="Vložit_díl"/>
    </definedNames>
    <sheetDataSet>
      <sheetData sheetId="0"/>
      <sheetData sheetId="1">
        <row r="1">
          <cell r="A1" t="str">
            <v>D.1.1</v>
          </cell>
          <cell r="B1" t="str">
            <v>Zabezpečovací zařízení</v>
          </cell>
        </row>
        <row r="2">
          <cell r="A2" t="str">
            <v>D.1.2</v>
          </cell>
          <cell r="B2" t="str">
            <v>Sdělovací zařízení</v>
          </cell>
        </row>
        <row r="3">
          <cell r="A3" t="str">
            <v>D.1.3</v>
          </cell>
          <cell r="B3" t="str">
            <v>Silnoproudá technologie včetně DŘT</v>
          </cell>
        </row>
        <row r="4">
          <cell r="A4" t="str">
            <v>D.1.4</v>
          </cell>
          <cell r="B4" t="str">
            <v>Ostatní technologická zařízení</v>
          </cell>
        </row>
        <row r="5">
          <cell r="A5" t="str">
            <v>D.2.1.1</v>
          </cell>
          <cell r="B5" t="str">
            <v xml:space="preserve"> Kolejový svršek a spodek </v>
          </cell>
        </row>
        <row r="6">
          <cell r="A6" t="str">
            <v>D.2.1.2</v>
          </cell>
          <cell r="B6" t="str">
            <v xml:space="preserve"> Nástupiště</v>
          </cell>
        </row>
        <row r="7">
          <cell r="A7" t="str">
            <v>D.2.1.3</v>
          </cell>
          <cell r="B7" t="str">
            <v xml:space="preserve"> Přejezdy a přechody</v>
          </cell>
        </row>
        <row r="8">
          <cell r="A8" t="str">
            <v>D.2.1.4</v>
          </cell>
          <cell r="B8" t="str">
            <v xml:space="preserve"> Mosty, propustky, zdi</v>
          </cell>
        </row>
        <row r="9">
          <cell r="A9" t="str">
            <v>D.2.1.5</v>
          </cell>
          <cell r="B9" t="str">
            <v xml:space="preserve"> Ostatní inženýrské objekty</v>
          </cell>
        </row>
        <row r="10">
          <cell r="A10" t="str">
            <v>D.2.1.6</v>
          </cell>
          <cell r="B10" t="str">
            <v xml:space="preserve"> Potrubní vedení</v>
          </cell>
        </row>
        <row r="11">
          <cell r="A11" t="str">
            <v>D.2.1.7</v>
          </cell>
          <cell r="B11" t="str">
            <v xml:space="preserve"> Tunely</v>
          </cell>
        </row>
        <row r="12">
          <cell r="A12" t="str">
            <v>D.2.1.8</v>
          </cell>
          <cell r="B12" t="str">
            <v xml:space="preserve"> Pozemní komunikace</v>
          </cell>
        </row>
        <row r="13">
          <cell r="A13" t="str">
            <v>D.2.1.9</v>
          </cell>
          <cell r="B13" t="str">
            <v xml:space="preserve"> Kabelovody, kolektory</v>
          </cell>
        </row>
        <row r="14">
          <cell r="A14" t="str">
            <v>D.2.1.1</v>
          </cell>
          <cell r="B14" t="str">
            <v>Protihlukové objekty</v>
          </cell>
        </row>
        <row r="15">
          <cell r="A15" t="str">
            <v>D.2.2.1</v>
          </cell>
          <cell r="B15" t="str">
            <v xml:space="preserve"> Pozemní stavební objekty budov</v>
          </cell>
        </row>
        <row r="16">
          <cell r="A16" t="str">
            <v>D.2.2.2</v>
          </cell>
          <cell r="B16" t="str">
            <v xml:space="preserve"> Zastřešení nástupišť, přístřešky na nástupištích</v>
          </cell>
        </row>
        <row r="17">
          <cell r="A17" t="str">
            <v>D.2.2.3</v>
          </cell>
          <cell r="B17" t="str">
            <v xml:space="preserve"> Individuální protihluková opatření</v>
          </cell>
        </row>
        <row r="18">
          <cell r="A18" t="str">
            <v>D.2.2.4</v>
          </cell>
          <cell r="B18" t="str">
            <v xml:space="preserve"> Orientační systém</v>
          </cell>
        </row>
        <row r="19">
          <cell r="A19" t="str">
            <v>D.2.2.5</v>
          </cell>
          <cell r="B19" t="str">
            <v xml:space="preserve"> Demolice</v>
          </cell>
        </row>
        <row r="20">
          <cell r="A20" t="str">
            <v>D.2.2.6</v>
          </cell>
          <cell r="B20" t="str">
            <v xml:space="preserve"> Drobná architektura a oplocení</v>
          </cell>
        </row>
        <row r="21">
          <cell r="A21" t="str">
            <v>D.2.3.1</v>
          </cell>
          <cell r="B21" t="str">
            <v xml:space="preserve"> Trakční vedení</v>
          </cell>
        </row>
        <row r="22">
          <cell r="A22" t="str">
            <v>D.2.3.2</v>
          </cell>
          <cell r="B22" t="str">
            <v xml:space="preserve"> Napájecí stanice - stavební část</v>
          </cell>
        </row>
        <row r="23">
          <cell r="A23" t="str">
            <v>D.2.3.3</v>
          </cell>
          <cell r="B23" t="str">
            <v xml:space="preserve"> Spínací stanice - stavební část</v>
          </cell>
        </row>
        <row r="24">
          <cell r="A24" t="str">
            <v>D.2.3.4</v>
          </cell>
          <cell r="B24" t="str">
            <v xml:space="preserve"> Ohřev výhybek (elektrický, plynový)</v>
          </cell>
        </row>
        <row r="25">
          <cell r="A25" t="str">
            <v>D.2.3.5</v>
          </cell>
          <cell r="B25" t="str">
            <v xml:space="preserve"> Elektrické předtápěcí zařízení</v>
          </cell>
        </row>
        <row r="26">
          <cell r="A26" t="str">
            <v>D.2.3.6</v>
          </cell>
          <cell r="B26" t="str">
            <v xml:space="preserve"> Rozvody VN, NN, osvětlení a dálkové ovládání odpojovačů</v>
          </cell>
        </row>
        <row r="27">
          <cell r="A27" t="str">
            <v>D.2.3.7</v>
          </cell>
          <cell r="B27" t="str">
            <v xml:space="preserve"> Ukolejnění kovových konstrukcí</v>
          </cell>
        </row>
        <row r="28">
          <cell r="A28" t="str">
            <v>D.2.3.8</v>
          </cell>
          <cell r="B28" t="str">
            <v xml:space="preserve"> Vnější uzemnění</v>
          </cell>
        </row>
        <row r="29">
          <cell r="A29" t="str">
            <v>D.2.3.9</v>
          </cell>
          <cell r="B29" t="str">
            <v xml:space="preserve"> Ostatní kabelizace</v>
          </cell>
        </row>
        <row r="30">
          <cell r="A30" t="str">
            <v>D.2.4.1</v>
          </cell>
          <cell r="B30" t="str">
            <v xml:space="preserve"> Příprava území a kácení</v>
          </cell>
        </row>
        <row r="31">
          <cell r="A31" t="str">
            <v>D.2.4.2</v>
          </cell>
          <cell r="B31" t="str">
            <v xml:space="preserve"> Náhradní výsadba</v>
          </cell>
        </row>
        <row r="32">
          <cell r="A32" t="str">
            <v>D.2.4.3</v>
          </cell>
          <cell r="B32" t="str">
            <v xml:space="preserve"> Zabezpečení veřejných zájmů</v>
          </cell>
        </row>
        <row r="33">
          <cell r="A33" t="str">
            <v>D.9.8</v>
          </cell>
          <cell r="B33" t="str">
            <v xml:space="preserve">SO 98-98 – Všeobecný objekt </v>
          </cell>
        </row>
        <row r="34">
          <cell r="A34" t="str">
            <v>D.9.9</v>
          </cell>
          <cell r="B34" t="str">
            <v>SO 90-90 – Odpady</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9.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0.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1.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974C4-405A-486E-9E6E-381BDD11BD9C}">
  <sheetPr codeName="List1">
    <pageSetUpPr fitToPage="1"/>
  </sheetPr>
  <dimension ref="A1:O264"/>
  <sheetViews>
    <sheetView showGridLines="0" topLeftCell="B1" zoomScale="85" zoomScaleNormal="85" zoomScaleSheetLayoutView="85" workbookViewId="0">
      <pane ySplit="12" topLeftCell="A13" activePane="bottomLeft" state="frozen"/>
      <selection activeCell="B1" sqref="B1"/>
      <selection pane="bottomLeft" activeCell="K14" sqref="K14:K264"/>
    </sheetView>
  </sheetViews>
  <sheetFormatPr defaultColWidth="9.140625" defaultRowHeight="11.25" x14ac:dyDescent="0.2"/>
  <cols>
    <col min="1" max="1" width="3.140625" style="58" hidden="1" customWidth="1"/>
    <col min="2" max="2" width="8.5703125" style="58" customWidth="1"/>
    <col min="3" max="3" width="10.5703125" style="58" customWidth="1"/>
    <col min="4" max="4" width="10" style="58" customWidth="1"/>
    <col min="5" max="5" width="11.42578125" style="58" customWidth="1"/>
    <col min="6" max="6" width="74.140625" style="58" customWidth="1"/>
    <col min="7" max="7" width="9" style="60" customWidth="1"/>
    <col min="8" max="8" width="13" style="60" customWidth="1"/>
    <col min="9" max="9" width="10.85546875" style="60" customWidth="1"/>
    <col min="10" max="10" width="10.140625" style="60" customWidth="1"/>
    <col min="11" max="11" width="12.85546875" style="60" customWidth="1"/>
    <col min="12" max="12" width="19" style="60" customWidth="1"/>
    <col min="13" max="14" width="9.140625" style="58"/>
    <col min="15" max="15" width="9.140625" style="58" customWidth="1"/>
    <col min="16" max="16384" width="9.140625" style="58"/>
  </cols>
  <sheetData>
    <row r="1" spans="1:15" s="1" customFormat="1" ht="30.75" customHeight="1" thickTop="1" thickBot="1" x14ac:dyDescent="0.3">
      <c r="B1" s="218" t="s">
        <v>0</v>
      </c>
      <c r="C1" s="219"/>
      <c r="D1" s="219"/>
      <c r="E1" s="219"/>
      <c r="F1" s="219"/>
      <c r="G1" s="219"/>
      <c r="H1" s="219"/>
      <c r="I1" s="2"/>
      <c r="J1" s="3"/>
      <c r="K1" s="3"/>
      <c r="L1" s="4" t="s">
        <v>1</v>
      </c>
    </row>
    <row r="2" spans="1:15" s="1" customFormat="1" ht="57" customHeight="1" thickTop="1" thickBot="1" x14ac:dyDescent="0.3">
      <c r="B2" s="220" t="s">
        <v>2</v>
      </c>
      <c r="C2" s="221"/>
      <c r="D2" s="5" t="s">
        <v>3</v>
      </c>
      <c r="E2" s="6"/>
      <c r="F2" s="7" t="s">
        <v>4</v>
      </c>
      <c r="G2" s="8"/>
      <c r="H2" s="9"/>
      <c r="I2" s="222" t="s">
        <v>5</v>
      </c>
      <c r="J2" s="223"/>
      <c r="K2" s="205">
        <f>SUMIFS(L:L,B:B,"SOUČET")</f>
        <v>0</v>
      </c>
      <c r="L2" s="206"/>
    </row>
    <row r="3" spans="1:15" s="1" customFormat="1" ht="42.75" customHeight="1" thickTop="1" thickBot="1" x14ac:dyDescent="0.3">
      <c r="B3" s="10" t="s">
        <v>6</v>
      </c>
      <c r="C3" s="11"/>
      <c r="D3" s="12" t="s">
        <v>1</v>
      </c>
      <c r="E3" s="13"/>
      <c r="F3" s="14" t="s">
        <v>7</v>
      </c>
      <c r="G3" s="15"/>
      <c r="H3" s="16"/>
      <c r="I3" s="17"/>
      <c r="J3" s="18"/>
      <c r="K3" s="207"/>
      <c r="L3" s="208"/>
    </row>
    <row r="4" spans="1:15" s="1" customFormat="1" ht="18" customHeight="1" thickTop="1" x14ac:dyDescent="0.25">
      <c r="B4" s="215" t="s">
        <v>8</v>
      </c>
      <c r="C4" s="204"/>
      <c r="D4" s="212"/>
      <c r="E4" s="19" t="s">
        <v>9</v>
      </c>
      <c r="F4" s="20" t="str">
        <f>INDEX('[1]Kategorie monitoringu'!A1:B34,MATCH(E4,'[1]Kategorie monitoringu'!A1:A34,0),2)</f>
        <v>Zabezpečovací zařízení</v>
      </c>
      <c r="G4" s="21"/>
      <c r="H4" s="22"/>
      <c r="I4" s="216" t="s">
        <v>10</v>
      </c>
      <c r="J4" s="217"/>
      <c r="K4" s="23"/>
      <c r="L4" s="24"/>
    </row>
    <row r="5" spans="1:15" s="1" customFormat="1" ht="18" customHeight="1" x14ac:dyDescent="0.25">
      <c r="B5" s="25" t="s">
        <v>11</v>
      </c>
      <c r="C5" s="26"/>
      <c r="D5" s="26"/>
      <c r="E5" s="19" t="s">
        <v>12</v>
      </c>
      <c r="F5" s="209" t="str">
        <f>IF((E5="Stádium 2"),"  Dokumentace pro územní řízení - DUR",(IF((E5="Stádium 3"),"  Projektová dokumentace (DOS/DSP)","")))</f>
        <v xml:space="preserve">  Projektová dokumentace (DOS/DSP)</v>
      </c>
      <c r="G5" s="209"/>
      <c r="H5" s="210"/>
      <c r="I5" s="211" t="s">
        <v>13</v>
      </c>
      <c r="J5" s="212"/>
      <c r="K5" s="27" t="s">
        <v>14</v>
      </c>
      <c r="L5" s="28"/>
    </row>
    <row r="6" spans="1:15" s="1" customFormat="1" ht="18" customHeight="1" x14ac:dyDescent="0.2">
      <c r="B6" s="25" t="s">
        <v>15</v>
      </c>
      <c r="C6" s="26"/>
      <c r="D6" s="26"/>
      <c r="E6" s="27" t="s">
        <v>16</v>
      </c>
      <c r="F6" s="213" t="s">
        <v>17</v>
      </c>
      <c r="G6" s="213"/>
      <c r="H6" s="214"/>
      <c r="I6" s="211" t="s">
        <v>18</v>
      </c>
      <c r="J6" s="212"/>
      <c r="K6" s="27" t="s">
        <v>19</v>
      </c>
      <c r="L6" s="28"/>
      <c r="O6" s="29"/>
    </row>
    <row r="7" spans="1:15" s="1" customFormat="1" ht="18" customHeight="1" x14ac:dyDescent="0.2">
      <c r="B7" s="199" t="s">
        <v>20</v>
      </c>
      <c r="C7" s="190"/>
      <c r="D7" s="190"/>
      <c r="E7" s="30">
        <v>45108</v>
      </c>
      <c r="F7" s="200" t="s">
        <v>21</v>
      </c>
      <c r="G7" s="201"/>
      <c r="H7" s="202"/>
      <c r="I7" s="203" t="s">
        <v>22</v>
      </c>
      <c r="J7" s="204"/>
      <c r="K7" s="31">
        <v>2022</v>
      </c>
      <c r="L7" s="28"/>
      <c r="O7" s="32"/>
    </row>
    <row r="8" spans="1:15" s="1" customFormat="1" ht="19.5" customHeight="1" thickBot="1" x14ac:dyDescent="0.3">
      <c r="B8" s="185" t="s">
        <v>23</v>
      </c>
      <c r="C8" s="186"/>
      <c r="D8" s="186"/>
      <c r="E8" s="33">
        <v>45243</v>
      </c>
      <c r="F8" s="34" t="s">
        <v>24</v>
      </c>
      <c r="G8" s="187" t="s">
        <v>25</v>
      </c>
      <c r="H8" s="188"/>
      <c r="I8" s="189" t="s">
        <v>26</v>
      </c>
      <c r="J8" s="190"/>
      <c r="K8" s="35" t="s">
        <v>27</v>
      </c>
      <c r="L8" s="36"/>
    </row>
    <row r="9" spans="1:15" s="1" customFormat="1" ht="9.75" customHeight="1" x14ac:dyDescent="0.25">
      <c r="B9" s="191" t="s">
        <v>4</v>
      </c>
      <c r="C9" s="192"/>
      <c r="D9" s="192"/>
      <c r="E9" s="192"/>
      <c r="F9" s="192"/>
      <c r="G9" s="192"/>
      <c r="H9" s="192"/>
      <c r="I9" s="192"/>
      <c r="J9" s="192"/>
      <c r="K9" s="37" t="str">
        <f>$I$5</f>
        <v>ISPROFIN:</v>
      </c>
      <c r="L9" s="38" t="s">
        <v>17</v>
      </c>
    </row>
    <row r="10" spans="1:15" s="1" customFormat="1" ht="15" customHeight="1" x14ac:dyDescent="0.25">
      <c r="B10" s="193" t="s">
        <v>28</v>
      </c>
      <c r="C10" s="195" t="s">
        <v>29</v>
      </c>
      <c r="D10" s="195" t="s">
        <v>30</v>
      </c>
      <c r="E10" s="195" t="s">
        <v>31</v>
      </c>
      <c r="F10" s="197" t="s">
        <v>32</v>
      </c>
      <c r="G10" s="197" t="s">
        <v>33</v>
      </c>
      <c r="H10" s="197" t="s">
        <v>34</v>
      </c>
      <c r="I10" s="195" t="s">
        <v>35</v>
      </c>
      <c r="J10" s="195" t="s">
        <v>36</v>
      </c>
      <c r="K10" s="183" t="s">
        <v>37</v>
      </c>
      <c r="L10" s="184"/>
    </row>
    <row r="11" spans="1:15" s="1" customFormat="1" ht="15" customHeight="1" x14ac:dyDescent="0.25">
      <c r="B11" s="193"/>
      <c r="C11" s="195"/>
      <c r="D11" s="195"/>
      <c r="E11" s="195"/>
      <c r="F11" s="197"/>
      <c r="G11" s="197"/>
      <c r="H11" s="197"/>
      <c r="I11" s="195"/>
      <c r="J11" s="195"/>
      <c r="K11" s="183"/>
      <c r="L11" s="184"/>
    </row>
    <row r="12" spans="1:15" s="1" customFormat="1" ht="12.75" customHeight="1" thickBot="1" x14ac:dyDescent="0.3">
      <c r="B12" s="194"/>
      <c r="C12" s="196"/>
      <c r="D12" s="196"/>
      <c r="E12" s="196"/>
      <c r="F12" s="198"/>
      <c r="G12" s="198"/>
      <c r="H12" s="198"/>
      <c r="I12" s="196"/>
      <c r="J12" s="196"/>
      <c r="K12" s="39" t="s">
        <v>38</v>
      </c>
      <c r="L12" s="40" t="s">
        <v>39</v>
      </c>
    </row>
    <row r="13" spans="1:15" s="41" customFormat="1" ht="20.100000000000001" customHeight="1" thickBot="1" x14ac:dyDescent="0.3">
      <c r="A13" s="41" t="s">
        <v>40</v>
      </c>
      <c r="B13" s="42" t="s">
        <v>41</v>
      </c>
      <c r="C13" s="43" t="s">
        <v>42</v>
      </c>
      <c r="D13" s="44"/>
      <c r="E13" s="44"/>
      <c r="F13" s="45" t="s">
        <v>43</v>
      </c>
      <c r="G13" s="44"/>
      <c r="H13" s="44"/>
      <c r="I13" s="44"/>
      <c r="J13" s="44"/>
      <c r="K13" s="44"/>
      <c r="L13" s="46"/>
    </row>
    <row r="14" spans="1:15" s="41" customFormat="1" ht="11.25" customHeight="1" thickBot="1" x14ac:dyDescent="0.3">
      <c r="A14" s="41" t="s">
        <v>44</v>
      </c>
      <c r="B14" s="47">
        <v>1</v>
      </c>
      <c r="C14" s="48" t="s">
        <v>45</v>
      </c>
      <c r="D14" s="49" t="s">
        <v>17</v>
      </c>
      <c r="E14" s="49" t="s">
        <v>46</v>
      </c>
      <c r="F14" s="49" t="s">
        <v>47</v>
      </c>
      <c r="G14" s="48" t="s">
        <v>48</v>
      </c>
      <c r="H14" s="48">
        <f>ROUND(1,3)</f>
        <v>1</v>
      </c>
      <c r="I14" s="48">
        <v>0</v>
      </c>
      <c r="J14" s="48">
        <f>ROUND(H14,3) * I14</f>
        <v>0</v>
      </c>
      <c r="K14" s="50"/>
      <c r="L14" s="51">
        <f>ROUND(ROUND(H14,3) * ROUND(K14,2),2)</f>
        <v>0</v>
      </c>
    </row>
    <row r="15" spans="1:15" s="41" customFormat="1" x14ac:dyDescent="0.25">
      <c r="A15" s="41" t="s">
        <v>49</v>
      </c>
      <c r="B15" s="52"/>
      <c r="F15" s="53" t="s">
        <v>50</v>
      </c>
      <c r="G15" s="54"/>
      <c r="H15" s="54"/>
      <c r="I15" s="54"/>
      <c r="J15" s="54"/>
      <c r="K15" s="54"/>
      <c r="L15" s="55"/>
    </row>
    <row r="16" spans="1:15" s="41" customFormat="1" x14ac:dyDescent="0.25">
      <c r="A16" s="41" t="s">
        <v>51</v>
      </c>
      <c r="B16" s="52"/>
      <c r="F16" s="56" t="s">
        <v>52</v>
      </c>
      <c r="G16" s="54"/>
      <c r="H16" s="54"/>
      <c r="I16" s="54"/>
      <c r="J16" s="54"/>
      <c r="K16" s="54"/>
      <c r="L16" s="55"/>
    </row>
    <row r="17" spans="1:12" s="41" customFormat="1" ht="34.5" thickBot="1" x14ac:dyDescent="0.3">
      <c r="A17" s="41" t="s">
        <v>53</v>
      </c>
      <c r="B17" s="52"/>
      <c r="F17" s="57" t="s">
        <v>54</v>
      </c>
      <c r="G17" s="54"/>
      <c r="H17" s="54"/>
      <c r="I17" s="54"/>
      <c r="J17" s="54"/>
      <c r="K17" s="54"/>
      <c r="L17" s="55"/>
    </row>
    <row r="18" spans="1:12" ht="11.25" customHeight="1" thickBot="1" x14ac:dyDescent="0.25">
      <c r="A18" s="58" t="s">
        <v>44</v>
      </c>
      <c r="B18" s="47">
        <v>2</v>
      </c>
      <c r="C18" s="48" t="s">
        <v>55</v>
      </c>
      <c r="D18" s="49" t="s">
        <v>17</v>
      </c>
      <c r="E18" s="49" t="s">
        <v>46</v>
      </c>
      <c r="F18" s="49" t="s">
        <v>56</v>
      </c>
      <c r="G18" s="48" t="s">
        <v>48</v>
      </c>
      <c r="H18" s="48">
        <f>ROUND(1,3)</f>
        <v>1</v>
      </c>
      <c r="I18" s="48">
        <v>0</v>
      </c>
      <c r="J18" s="48">
        <f>ROUND(H18,3) * I18</f>
        <v>0</v>
      </c>
      <c r="K18" s="50"/>
      <c r="L18" s="51">
        <f>ROUND(ROUND(H18,3) * ROUND(K18,2),2)</f>
        <v>0</v>
      </c>
    </row>
    <row r="19" spans="1:12" x14ac:dyDescent="0.2">
      <c r="A19" s="58" t="s">
        <v>49</v>
      </c>
      <c r="B19" s="59"/>
      <c r="F19" s="53" t="s">
        <v>17</v>
      </c>
      <c r="L19" s="61"/>
    </row>
    <row r="20" spans="1:12" x14ac:dyDescent="0.2">
      <c r="A20" s="41" t="s">
        <v>51</v>
      </c>
      <c r="B20" s="59"/>
      <c r="F20" s="56" t="s">
        <v>17</v>
      </c>
      <c r="L20" s="61"/>
    </row>
    <row r="21" spans="1:12" ht="12" thickBot="1" x14ac:dyDescent="0.25">
      <c r="A21" s="58" t="s">
        <v>53</v>
      </c>
      <c r="B21" s="59"/>
      <c r="F21" s="57" t="s">
        <v>57</v>
      </c>
      <c r="L21" s="61"/>
    </row>
    <row r="22" spans="1:12" ht="13.5" customHeight="1" thickBot="1" x14ac:dyDescent="0.25">
      <c r="B22" s="62" t="s">
        <v>58</v>
      </c>
      <c r="C22" s="63" t="s">
        <v>59</v>
      </c>
      <c r="D22" s="64"/>
      <c r="E22" s="64"/>
      <c r="F22" s="64" t="s">
        <v>43</v>
      </c>
      <c r="G22" s="64"/>
      <c r="H22" s="64"/>
      <c r="I22" s="64"/>
      <c r="J22" s="64"/>
      <c r="K22" s="64"/>
      <c r="L22" s="65">
        <f>SUM(L14:L21)</f>
        <v>0</v>
      </c>
    </row>
    <row r="23" spans="1:12" ht="20.100000000000001" customHeight="1" thickBot="1" x14ac:dyDescent="0.25">
      <c r="A23" s="58" t="s">
        <v>40</v>
      </c>
      <c r="B23" s="66" t="s">
        <v>41</v>
      </c>
      <c r="C23" s="43" t="s">
        <v>60</v>
      </c>
      <c r="D23" s="44"/>
      <c r="E23" s="44"/>
      <c r="F23" s="45" t="s">
        <v>61</v>
      </c>
      <c r="G23" s="44"/>
      <c r="H23" s="44"/>
      <c r="I23" s="44"/>
      <c r="J23" s="44"/>
      <c r="K23" s="44"/>
      <c r="L23" s="46"/>
    </row>
    <row r="24" spans="1:12" ht="11.25" customHeight="1" thickBot="1" x14ac:dyDescent="0.25">
      <c r="A24" s="58" t="s">
        <v>44</v>
      </c>
      <c r="B24" s="47">
        <v>3</v>
      </c>
      <c r="C24" s="48" t="s">
        <v>62</v>
      </c>
      <c r="D24" s="49" t="s">
        <v>17</v>
      </c>
      <c r="E24" s="49" t="s">
        <v>46</v>
      </c>
      <c r="F24" s="49" t="s">
        <v>63</v>
      </c>
      <c r="G24" s="48" t="s">
        <v>64</v>
      </c>
      <c r="H24" s="48">
        <f>ROUND(128.24,3)</f>
        <v>128.24</v>
      </c>
      <c r="I24" s="48">
        <v>0</v>
      </c>
      <c r="J24" s="48">
        <f>ROUND(H24,3) * I24</f>
        <v>0</v>
      </c>
      <c r="K24" s="50"/>
      <c r="L24" s="51">
        <f>ROUND(ROUND(H24,3) * ROUND(K24,2),2)</f>
        <v>0</v>
      </c>
    </row>
    <row r="25" spans="1:12" x14ac:dyDescent="0.2">
      <c r="A25" s="58" t="s">
        <v>49</v>
      </c>
      <c r="B25" s="59"/>
      <c r="F25" s="53" t="s">
        <v>17</v>
      </c>
      <c r="L25" s="61"/>
    </row>
    <row r="26" spans="1:12" x14ac:dyDescent="0.2">
      <c r="A26" s="41" t="s">
        <v>51</v>
      </c>
      <c r="B26" s="59"/>
      <c r="F26" s="56" t="s">
        <v>65</v>
      </c>
      <c r="L26" s="61"/>
    </row>
    <row r="27" spans="1:12" ht="270.75" thickBot="1" x14ac:dyDescent="0.25">
      <c r="A27" s="58" t="s">
        <v>53</v>
      </c>
      <c r="B27" s="59"/>
      <c r="F27" s="57" t="s">
        <v>66</v>
      </c>
      <c r="L27" s="61"/>
    </row>
    <row r="28" spans="1:12" ht="11.25" customHeight="1" thickBot="1" x14ac:dyDescent="0.25">
      <c r="A28" s="58" t="s">
        <v>44</v>
      </c>
      <c r="B28" s="47">
        <v>4</v>
      </c>
      <c r="C28" s="48" t="s">
        <v>67</v>
      </c>
      <c r="D28" s="49" t="s">
        <v>17</v>
      </c>
      <c r="E28" s="49" t="s">
        <v>46</v>
      </c>
      <c r="F28" s="49" t="s">
        <v>68</v>
      </c>
      <c r="G28" s="48" t="s">
        <v>69</v>
      </c>
      <c r="H28" s="48">
        <f>ROUND(151,3)</f>
        <v>151</v>
      </c>
      <c r="I28" s="48">
        <v>0</v>
      </c>
      <c r="J28" s="48">
        <f>ROUND(H28,3) * I28</f>
        <v>0</v>
      </c>
      <c r="K28" s="50"/>
      <c r="L28" s="51">
        <f>ROUND(ROUND(H28,3) * ROUND(K28,2),2)</f>
        <v>0</v>
      </c>
    </row>
    <row r="29" spans="1:12" x14ac:dyDescent="0.2">
      <c r="A29" s="58" t="s">
        <v>49</v>
      </c>
      <c r="B29" s="59"/>
      <c r="F29" s="53" t="s">
        <v>17</v>
      </c>
      <c r="L29" s="61"/>
    </row>
    <row r="30" spans="1:12" x14ac:dyDescent="0.2">
      <c r="A30" s="41" t="s">
        <v>51</v>
      </c>
      <c r="B30" s="59"/>
      <c r="F30" s="56" t="s">
        <v>70</v>
      </c>
      <c r="L30" s="61"/>
    </row>
    <row r="31" spans="1:12" ht="23.25" thickBot="1" x14ac:dyDescent="0.25">
      <c r="A31" s="58" t="s">
        <v>53</v>
      </c>
      <c r="B31" s="59"/>
      <c r="F31" s="57" t="s">
        <v>71</v>
      </c>
      <c r="L31" s="61"/>
    </row>
    <row r="32" spans="1:12" ht="11.25" customHeight="1" thickBot="1" x14ac:dyDescent="0.25">
      <c r="A32" s="58" t="s">
        <v>44</v>
      </c>
      <c r="B32" s="47">
        <v>5</v>
      </c>
      <c r="C32" s="48" t="s">
        <v>72</v>
      </c>
      <c r="D32" s="49" t="s">
        <v>17</v>
      </c>
      <c r="E32" s="49" t="s">
        <v>46</v>
      </c>
      <c r="F32" s="49" t="s">
        <v>73</v>
      </c>
      <c r="G32" s="48" t="s">
        <v>64</v>
      </c>
      <c r="H32" s="48">
        <f>ROUND(128.24,3)</f>
        <v>128.24</v>
      </c>
      <c r="I32" s="48">
        <v>0</v>
      </c>
      <c r="J32" s="48">
        <f>ROUND(H32,3) * I32</f>
        <v>0</v>
      </c>
      <c r="K32" s="50"/>
      <c r="L32" s="51">
        <f>ROUND(ROUND(H32,3) * ROUND(K32,2),2)</f>
        <v>0</v>
      </c>
    </row>
    <row r="33" spans="1:12" x14ac:dyDescent="0.2">
      <c r="A33" s="58" t="s">
        <v>49</v>
      </c>
      <c r="B33" s="59"/>
      <c r="F33" s="53" t="s">
        <v>17</v>
      </c>
      <c r="L33" s="61"/>
    </row>
    <row r="34" spans="1:12" x14ac:dyDescent="0.2">
      <c r="A34" s="41" t="s">
        <v>51</v>
      </c>
      <c r="B34" s="59"/>
      <c r="F34" s="56" t="s">
        <v>65</v>
      </c>
      <c r="L34" s="61"/>
    </row>
    <row r="35" spans="1:12" ht="192" thickBot="1" x14ac:dyDescent="0.25">
      <c r="A35" s="58" t="s">
        <v>53</v>
      </c>
      <c r="B35" s="59"/>
      <c r="F35" s="57" t="s">
        <v>74</v>
      </c>
      <c r="L35" s="61"/>
    </row>
    <row r="36" spans="1:12" ht="11.25" customHeight="1" thickBot="1" x14ac:dyDescent="0.25">
      <c r="A36" s="58" t="s">
        <v>44</v>
      </c>
      <c r="B36" s="47">
        <v>6</v>
      </c>
      <c r="C36" s="48" t="s">
        <v>75</v>
      </c>
      <c r="D36" s="49" t="s">
        <v>17</v>
      </c>
      <c r="E36" s="49" t="s">
        <v>46</v>
      </c>
      <c r="F36" s="49" t="s">
        <v>76</v>
      </c>
      <c r="G36" s="48" t="s">
        <v>64</v>
      </c>
      <c r="H36" s="48">
        <f>ROUND(32.06,3)</f>
        <v>32.06</v>
      </c>
      <c r="I36" s="48">
        <v>0</v>
      </c>
      <c r="J36" s="48">
        <f>ROUND(H36,3) * I36</f>
        <v>0</v>
      </c>
      <c r="K36" s="50"/>
      <c r="L36" s="51">
        <f>ROUND(ROUND(H36,3) * ROUND(K36,2),2)</f>
        <v>0</v>
      </c>
    </row>
    <row r="37" spans="1:12" x14ac:dyDescent="0.2">
      <c r="A37" s="58" t="s">
        <v>49</v>
      </c>
      <c r="B37" s="59"/>
      <c r="F37" s="53" t="s">
        <v>17</v>
      </c>
      <c r="L37" s="61"/>
    </row>
    <row r="38" spans="1:12" x14ac:dyDescent="0.2">
      <c r="A38" s="41" t="s">
        <v>51</v>
      </c>
      <c r="B38" s="59"/>
      <c r="F38" s="56" t="s">
        <v>77</v>
      </c>
      <c r="L38" s="61"/>
    </row>
    <row r="39" spans="1:12" ht="180.75" thickBot="1" x14ac:dyDescent="0.25">
      <c r="A39" s="58" t="s">
        <v>53</v>
      </c>
      <c r="B39" s="59"/>
      <c r="F39" s="57" t="s">
        <v>78</v>
      </c>
      <c r="L39" s="61"/>
    </row>
    <row r="40" spans="1:12" ht="11.25" customHeight="1" thickBot="1" x14ac:dyDescent="0.25">
      <c r="A40" s="58" t="s">
        <v>44</v>
      </c>
      <c r="B40" s="47">
        <v>7</v>
      </c>
      <c r="C40" s="48" t="s">
        <v>79</v>
      </c>
      <c r="D40" s="49" t="s">
        <v>17</v>
      </c>
      <c r="E40" s="49" t="s">
        <v>46</v>
      </c>
      <c r="F40" s="49" t="s">
        <v>80</v>
      </c>
      <c r="G40" s="48" t="s">
        <v>81</v>
      </c>
      <c r="H40" s="48">
        <f>ROUND(916,3)</f>
        <v>916</v>
      </c>
      <c r="I40" s="48">
        <v>0</v>
      </c>
      <c r="J40" s="48">
        <f>ROUND(H40,3) * I40</f>
        <v>0</v>
      </c>
      <c r="K40" s="50"/>
      <c r="L40" s="51">
        <f>ROUND(ROUND(H40,3) * ROUND(K40,2),2)</f>
        <v>0</v>
      </c>
    </row>
    <row r="41" spans="1:12" x14ac:dyDescent="0.2">
      <c r="A41" s="58" t="s">
        <v>49</v>
      </c>
      <c r="B41" s="59"/>
      <c r="F41" s="53" t="s">
        <v>17</v>
      </c>
      <c r="L41" s="61"/>
    </row>
    <row r="42" spans="1:12" x14ac:dyDescent="0.2">
      <c r="A42" s="41" t="s">
        <v>51</v>
      </c>
      <c r="B42" s="59"/>
      <c r="F42" s="56" t="s">
        <v>82</v>
      </c>
      <c r="L42" s="61"/>
    </row>
    <row r="43" spans="1:12" ht="12" thickBot="1" x14ac:dyDescent="0.25">
      <c r="A43" s="58" t="s">
        <v>53</v>
      </c>
      <c r="B43" s="59"/>
      <c r="F43" s="57" t="s">
        <v>83</v>
      </c>
      <c r="L43" s="61"/>
    </row>
    <row r="44" spans="1:12" ht="13.5" customHeight="1" thickBot="1" x14ac:dyDescent="0.25">
      <c r="B44" s="62" t="s">
        <v>58</v>
      </c>
      <c r="C44" s="63" t="s">
        <v>59</v>
      </c>
      <c r="D44" s="64"/>
      <c r="E44" s="64"/>
      <c r="F44" s="64" t="s">
        <v>61</v>
      </c>
      <c r="G44" s="64"/>
      <c r="H44" s="64"/>
      <c r="I44" s="64"/>
      <c r="J44" s="64"/>
      <c r="K44" s="64"/>
      <c r="L44" s="65">
        <f>SUM(L24:L43)</f>
        <v>0</v>
      </c>
    </row>
    <row r="45" spans="1:12" ht="20.100000000000001" customHeight="1" thickBot="1" x14ac:dyDescent="0.25">
      <c r="A45" s="58" t="s">
        <v>40</v>
      </c>
      <c r="B45" s="66" t="s">
        <v>41</v>
      </c>
      <c r="C45" s="43" t="s">
        <v>84</v>
      </c>
      <c r="D45" s="44"/>
      <c r="E45" s="44"/>
      <c r="F45" s="45" t="s">
        <v>85</v>
      </c>
      <c r="G45" s="44"/>
      <c r="H45" s="44"/>
      <c r="I45" s="44"/>
      <c r="J45" s="44"/>
      <c r="K45" s="44"/>
      <c r="L45" s="46"/>
    </row>
    <row r="46" spans="1:12" ht="11.25" customHeight="1" thickBot="1" x14ac:dyDescent="0.25">
      <c r="A46" s="58" t="s">
        <v>44</v>
      </c>
      <c r="B46" s="47">
        <v>8</v>
      </c>
      <c r="C46" s="48" t="s">
        <v>86</v>
      </c>
      <c r="D46" s="49" t="s">
        <v>17</v>
      </c>
      <c r="E46" s="49" t="s">
        <v>46</v>
      </c>
      <c r="F46" s="49" t="s">
        <v>87</v>
      </c>
      <c r="G46" s="48" t="s">
        <v>81</v>
      </c>
      <c r="H46" s="48">
        <f>ROUND(20,3)</f>
        <v>20</v>
      </c>
      <c r="I46" s="48">
        <v>0</v>
      </c>
      <c r="J46" s="48">
        <f>ROUND(H46,3) * I46</f>
        <v>0</v>
      </c>
      <c r="K46" s="50"/>
      <c r="L46" s="51">
        <f>ROUND(ROUND(H46,3) * ROUND(K46,2),2)</f>
        <v>0</v>
      </c>
    </row>
    <row r="47" spans="1:12" x14ac:dyDescent="0.2">
      <c r="A47" s="58" t="s">
        <v>49</v>
      </c>
      <c r="B47" s="59"/>
      <c r="F47" s="53" t="s">
        <v>17</v>
      </c>
      <c r="L47" s="61"/>
    </row>
    <row r="48" spans="1:12" x14ac:dyDescent="0.2">
      <c r="A48" s="41" t="s">
        <v>51</v>
      </c>
      <c r="B48" s="59"/>
      <c r="F48" s="56" t="s">
        <v>17</v>
      </c>
      <c r="L48" s="61"/>
    </row>
    <row r="49" spans="1:12" ht="68.25" thickBot="1" x14ac:dyDescent="0.25">
      <c r="A49" s="58" t="s">
        <v>53</v>
      </c>
      <c r="B49" s="59"/>
      <c r="F49" s="57" t="s">
        <v>88</v>
      </c>
      <c r="L49" s="61"/>
    </row>
    <row r="50" spans="1:12" ht="11.25" customHeight="1" thickBot="1" x14ac:dyDescent="0.25">
      <c r="A50" s="58" t="s">
        <v>44</v>
      </c>
      <c r="B50" s="47">
        <v>9</v>
      </c>
      <c r="C50" s="48" t="s">
        <v>89</v>
      </c>
      <c r="D50" s="49" t="s">
        <v>17</v>
      </c>
      <c r="E50" s="49" t="s">
        <v>46</v>
      </c>
      <c r="F50" s="49" t="s">
        <v>90</v>
      </c>
      <c r="G50" s="48" t="s">
        <v>91</v>
      </c>
      <c r="H50" s="48">
        <f>ROUND(1,3)</f>
        <v>1</v>
      </c>
      <c r="I50" s="48">
        <v>0</v>
      </c>
      <c r="J50" s="48">
        <f>ROUND(H50,3) * I50</f>
        <v>0</v>
      </c>
      <c r="K50" s="50"/>
      <c r="L50" s="51">
        <f>ROUND(ROUND(H50,3) * ROUND(K50,2),2)</f>
        <v>0</v>
      </c>
    </row>
    <row r="51" spans="1:12" x14ac:dyDescent="0.2">
      <c r="A51" s="58" t="s">
        <v>49</v>
      </c>
      <c r="B51" s="59"/>
      <c r="F51" s="53" t="s">
        <v>17</v>
      </c>
      <c r="L51" s="61"/>
    </row>
    <row r="52" spans="1:12" x14ac:dyDescent="0.2">
      <c r="A52" s="41" t="s">
        <v>51</v>
      </c>
      <c r="B52" s="59"/>
      <c r="F52" s="56" t="s">
        <v>17</v>
      </c>
      <c r="L52" s="61"/>
    </row>
    <row r="53" spans="1:12" ht="68.25" thickBot="1" x14ac:dyDescent="0.25">
      <c r="A53" s="58" t="s">
        <v>53</v>
      </c>
      <c r="B53" s="59"/>
      <c r="F53" s="57" t="s">
        <v>92</v>
      </c>
      <c r="L53" s="61"/>
    </row>
    <row r="54" spans="1:12" ht="11.25" customHeight="1" thickBot="1" x14ac:dyDescent="0.25">
      <c r="A54" s="58" t="s">
        <v>44</v>
      </c>
      <c r="B54" s="47">
        <v>10</v>
      </c>
      <c r="C54" s="48" t="s">
        <v>93</v>
      </c>
      <c r="D54" s="49" t="s">
        <v>17</v>
      </c>
      <c r="E54" s="49" t="s">
        <v>46</v>
      </c>
      <c r="F54" s="49" t="s">
        <v>94</v>
      </c>
      <c r="G54" s="48" t="s">
        <v>91</v>
      </c>
      <c r="H54" s="48">
        <f>ROUND(25,3)</f>
        <v>25</v>
      </c>
      <c r="I54" s="48">
        <v>0</v>
      </c>
      <c r="J54" s="48">
        <f>ROUND(H54,3) * I54</f>
        <v>0</v>
      </c>
      <c r="K54" s="50"/>
      <c r="L54" s="51">
        <f>ROUND(ROUND(H54,3) * ROUND(K54,2),2)</f>
        <v>0</v>
      </c>
    </row>
    <row r="55" spans="1:12" x14ac:dyDescent="0.2">
      <c r="A55" s="58" t="s">
        <v>49</v>
      </c>
      <c r="B55" s="59"/>
      <c r="F55" s="53" t="s">
        <v>17</v>
      </c>
      <c r="L55" s="61"/>
    </row>
    <row r="56" spans="1:12" x14ac:dyDescent="0.2">
      <c r="A56" s="41" t="s">
        <v>51</v>
      </c>
      <c r="B56" s="59"/>
      <c r="F56" s="56" t="s">
        <v>95</v>
      </c>
      <c r="L56" s="61"/>
    </row>
    <row r="57" spans="1:12" ht="102" thickBot="1" x14ac:dyDescent="0.25">
      <c r="A57" s="58" t="s">
        <v>53</v>
      </c>
      <c r="B57" s="59"/>
      <c r="F57" s="57" t="s">
        <v>96</v>
      </c>
      <c r="L57" s="61"/>
    </row>
    <row r="58" spans="1:12" ht="11.25" customHeight="1" thickBot="1" x14ac:dyDescent="0.25">
      <c r="A58" s="58" t="s">
        <v>44</v>
      </c>
      <c r="B58" s="47">
        <v>11</v>
      </c>
      <c r="C58" s="48" t="s">
        <v>97</v>
      </c>
      <c r="D58" s="49" t="s">
        <v>17</v>
      </c>
      <c r="E58" s="49" t="s">
        <v>46</v>
      </c>
      <c r="F58" s="49" t="s">
        <v>98</v>
      </c>
      <c r="G58" s="48" t="s">
        <v>69</v>
      </c>
      <c r="H58" s="48">
        <f>ROUND(349,3)</f>
        <v>349</v>
      </c>
      <c r="I58" s="48">
        <v>0</v>
      </c>
      <c r="J58" s="48">
        <f>ROUND(H58,3) * I58</f>
        <v>0</v>
      </c>
      <c r="K58" s="50"/>
      <c r="L58" s="51">
        <f>ROUND(ROUND(H58,3) * ROUND(K58,2),2)</f>
        <v>0</v>
      </c>
    </row>
    <row r="59" spans="1:12" x14ac:dyDescent="0.2">
      <c r="A59" s="58" t="s">
        <v>49</v>
      </c>
      <c r="B59" s="59"/>
      <c r="F59" s="53" t="s">
        <v>17</v>
      </c>
      <c r="L59" s="61"/>
    </row>
    <row r="60" spans="1:12" x14ac:dyDescent="0.2">
      <c r="A60" s="41" t="s">
        <v>51</v>
      </c>
      <c r="B60" s="59"/>
      <c r="F60" s="56" t="s">
        <v>99</v>
      </c>
      <c r="L60" s="61"/>
    </row>
    <row r="61" spans="1:12" ht="90.75" thickBot="1" x14ac:dyDescent="0.25">
      <c r="A61" s="58" t="s">
        <v>53</v>
      </c>
      <c r="B61" s="59"/>
      <c r="F61" s="57" t="s">
        <v>100</v>
      </c>
      <c r="L61" s="61"/>
    </row>
    <row r="62" spans="1:12" ht="11.25" customHeight="1" thickBot="1" x14ac:dyDescent="0.25">
      <c r="A62" s="58" t="s">
        <v>44</v>
      </c>
      <c r="B62" s="47">
        <v>12</v>
      </c>
      <c r="C62" s="48" t="s">
        <v>101</v>
      </c>
      <c r="D62" s="49" t="s">
        <v>17</v>
      </c>
      <c r="E62" s="49" t="s">
        <v>46</v>
      </c>
      <c r="F62" s="49" t="s">
        <v>102</v>
      </c>
      <c r="G62" s="48" t="s">
        <v>69</v>
      </c>
      <c r="H62" s="48">
        <f>ROUND(407,3)</f>
        <v>407</v>
      </c>
      <c r="I62" s="48">
        <v>0</v>
      </c>
      <c r="J62" s="48">
        <f>ROUND(H62,3) * I62</f>
        <v>0</v>
      </c>
      <c r="K62" s="50"/>
      <c r="L62" s="51">
        <f>ROUND(ROUND(H62,3) * ROUND(K62,2),2)</f>
        <v>0</v>
      </c>
    </row>
    <row r="63" spans="1:12" x14ac:dyDescent="0.2">
      <c r="A63" s="58" t="s">
        <v>49</v>
      </c>
      <c r="B63" s="59"/>
      <c r="F63" s="53" t="s">
        <v>17</v>
      </c>
      <c r="L63" s="61"/>
    </row>
    <row r="64" spans="1:12" x14ac:dyDescent="0.2">
      <c r="A64" s="41" t="s">
        <v>51</v>
      </c>
      <c r="B64" s="59"/>
      <c r="F64" s="56" t="s">
        <v>103</v>
      </c>
      <c r="L64" s="61"/>
    </row>
    <row r="65" spans="1:12" ht="113.25" thickBot="1" x14ac:dyDescent="0.25">
      <c r="A65" s="58" t="s">
        <v>53</v>
      </c>
      <c r="B65" s="59"/>
      <c r="F65" s="57" t="s">
        <v>104</v>
      </c>
      <c r="L65" s="61"/>
    </row>
    <row r="66" spans="1:12" ht="11.25" customHeight="1" thickBot="1" x14ac:dyDescent="0.25">
      <c r="A66" s="58" t="s">
        <v>44</v>
      </c>
      <c r="B66" s="47">
        <v>13</v>
      </c>
      <c r="C66" s="48" t="s">
        <v>105</v>
      </c>
      <c r="D66" s="49" t="s">
        <v>17</v>
      </c>
      <c r="E66" s="49" t="s">
        <v>46</v>
      </c>
      <c r="F66" s="49" t="s">
        <v>106</v>
      </c>
      <c r="G66" s="48" t="s">
        <v>91</v>
      </c>
      <c r="H66" s="48">
        <f>ROUND(3,3)</f>
        <v>3</v>
      </c>
      <c r="I66" s="48">
        <v>0</v>
      </c>
      <c r="J66" s="48">
        <f>ROUND(H66,3) * I66</f>
        <v>0</v>
      </c>
      <c r="K66" s="50"/>
      <c r="L66" s="51">
        <f>ROUND(ROUND(H66,3) * ROUND(K66,2),2)</f>
        <v>0</v>
      </c>
    </row>
    <row r="67" spans="1:12" x14ac:dyDescent="0.2">
      <c r="A67" s="58" t="s">
        <v>49</v>
      </c>
      <c r="B67" s="59"/>
      <c r="F67" s="53" t="s">
        <v>17</v>
      </c>
      <c r="L67" s="61"/>
    </row>
    <row r="68" spans="1:12" x14ac:dyDescent="0.2">
      <c r="A68" s="41" t="s">
        <v>51</v>
      </c>
      <c r="B68" s="59"/>
      <c r="F68" s="56" t="s">
        <v>17</v>
      </c>
      <c r="L68" s="61"/>
    </row>
    <row r="69" spans="1:12" ht="79.5" thickBot="1" x14ac:dyDescent="0.25">
      <c r="A69" s="58" t="s">
        <v>53</v>
      </c>
      <c r="B69" s="59"/>
      <c r="F69" s="57" t="s">
        <v>107</v>
      </c>
      <c r="L69" s="61"/>
    </row>
    <row r="70" spans="1:12" ht="11.25" customHeight="1" thickBot="1" x14ac:dyDescent="0.25">
      <c r="A70" s="58" t="s">
        <v>44</v>
      </c>
      <c r="B70" s="47">
        <v>14</v>
      </c>
      <c r="C70" s="48" t="s">
        <v>108</v>
      </c>
      <c r="D70" s="49" t="s">
        <v>17</v>
      </c>
      <c r="E70" s="49" t="s">
        <v>46</v>
      </c>
      <c r="F70" s="49" t="s">
        <v>109</v>
      </c>
      <c r="G70" s="48" t="s">
        <v>91</v>
      </c>
      <c r="H70" s="48">
        <f>ROUND(3,3)</f>
        <v>3</v>
      </c>
      <c r="I70" s="48">
        <v>0</v>
      </c>
      <c r="J70" s="48">
        <f>ROUND(H70,3) * I70</f>
        <v>0</v>
      </c>
      <c r="K70" s="50"/>
      <c r="L70" s="51">
        <f>ROUND(ROUND(H70,3) * ROUND(K70,2),2)</f>
        <v>0</v>
      </c>
    </row>
    <row r="71" spans="1:12" x14ac:dyDescent="0.2">
      <c r="A71" s="58" t="s">
        <v>49</v>
      </c>
      <c r="B71" s="59"/>
      <c r="F71" s="53" t="s">
        <v>17</v>
      </c>
      <c r="L71" s="61"/>
    </row>
    <row r="72" spans="1:12" x14ac:dyDescent="0.2">
      <c r="A72" s="41" t="s">
        <v>51</v>
      </c>
      <c r="B72" s="59"/>
      <c r="F72" s="56" t="s">
        <v>17</v>
      </c>
      <c r="L72" s="61"/>
    </row>
    <row r="73" spans="1:12" ht="34.5" thickBot="1" x14ac:dyDescent="0.25">
      <c r="A73" s="58" t="s">
        <v>53</v>
      </c>
      <c r="B73" s="59"/>
      <c r="F73" s="57" t="s">
        <v>110</v>
      </c>
      <c r="L73" s="61"/>
    </row>
    <row r="74" spans="1:12" ht="11.25" customHeight="1" thickBot="1" x14ac:dyDescent="0.25">
      <c r="A74" s="58" t="s">
        <v>44</v>
      </c>
      <c r="B74" s="47">
        <v>15</v>
      </c>
      <c r="C74" s="48" t="s">
        <v>111</v>
      </c>
      <c r="D74" s="49" t="s">
        <v>17</v>
      </c>
      <c r="E74" s="49" t="s">
        <v>46</v>
      </c>
      <c r="F74" s="49" t="s">
        <v>112</v>
      </c>
      <c r="G74" s="48" t="s">
        <v>91</v>
      </c>
      <c r="H74" s="48">
        <f>ROUND(10,3)</f>
        <v>10</v>
      </c>
      <c r="I74" s="48">
        <v>0</v>
      </c>
      <c r="J74" s="48">
        <f>ROUND(H74,3) * I74</f>
        <v>0</v>
      </c>
      <c r="K74" s="50"/>
      <c r="L74" s="51">
        <f>ROUND(ROUND(H74,3) * ROUND(K74,2),2)</f>
        <v>0</v>
      </c>
    </row>
    <row r="75" spans="1:12" x14ac:dyDescent="0.2">
      <c r="A75" s="58" t="s">
        <v>49</v>
      </c>
      <c r="B75" s="59"/>
      <c r="F75" s="53" t="s">
        <v>17</v>
      </c>
      <c r="L75" s="61"/>
    </row>
    <row r="76" spans="1:12" x14ac:dyDescent="0.2">
      <c r="A76" s="41" t="s">
        <v>51</v>
      </c>
      <c r="B76" s="59"/>
      <c r="F76" s="56" t="s">
        <v>17</v>
      </c>
      <c r="L76" s="61"/>
    </row>
    <row r="77" spans="1:12" ht="90.75" thickBot="1" x14ac:dyDescent="0.25">
      <c r="A77" s="58" t="s">
        <v>53</v>
      </c>
      <c r="B77" s="59"/>
      <c r="F77" s="57" t="s">
        <v>100</v>
      </c>
      <c r="L77" s="61"/>
    </row>
    <row r="78" spans="1:12" ht="11.25" customHeight="1" thickBot="1" x14ac:dyDescent="0.25">
      <c r="A78" s="58" t="s">
        <v>44</v>
      </c>
      <c r="B78" s="47">
        <v>16</v>
      </c>
      <c r="C78" s="48" t="s">
        <v>113</v>
      </c>
      <c r="D78" s="49" t="s">
        <v>17</v>
      </c>
      <c r="E78" s="49" t="s">
        <v>46</v>
      </c>
      <c r="F78" s="49" t="s">
        <v>114</v>
      </c>
      <c r="G78" s="48" t="s">
        <v>81</v>
      </c>
      <c r="H78" s="48">
        <f>ROUND(6,3)</f>
        <v>6</v>
      </c>
      <c r="I78" s="48">
        <v>0</v>
      </c>
      <c r="J78" s="48">
        <f>ROUND(H78,3) * I78</f>
        <v>0</v>
      </c>
      <c r="K78" s="50"/>
      <c r="L78" s="51">
        <f>ROUND(ROUND(H78,3) * ROUND(K78,2),2)</f>
        <v>0</v>
      </c>
    </row>
    <row r="79" spans="1:12" x14ac:dyDescent="0.2">
      <c r="A79" s="58" t="s">
        <v>49</v>
      </c>
      <c r="B79" s="59"/>
      <c r="F79" s="53" t="s">
        <v>17</v>
      </c>
      <c r="L79" s="61"/>
    </row>
    <row r="80" spans="1:12" x14ac:dyDescent="0.2">
      <c r="A80" s="41" t="s">
        <v>51</v>
      </c>
      <c r="B80" s="59"/>
      <c r="F80" s="56" t="s">
        <v>17</v>
      </c>
      <c r="L80" s="61"/>
    </row>
    <row r="81" spans="1:12" ht="158.25" thickBot="1" x14ac:dyDescent="0.25">
      <c r="A81" s="58" t="s">
        <v>53</v>
      </c>
      <c r="B81" s="59"/>
      <c r="F81" s="57" t="s">
        <v>115</v>
      </c>
      <c r="L81" s="61"/>
    </row>
    <row r="82" spans="1:12" ht="11.25" customHeight="1" thickBot="1" x14ac:dyDescent="0.25">
      <c r="A82" s="58" t="s">
        <v>44</v>
      </c>
      <c r="B82" s="47">
        <v>17</v>
      </c>
      <c r="C82" s="48" t="s">
        <v>116</v>
      </c>
      <c r="D82" s="49" t="s">
        <v>17</v>
      </c>
      <c r="E82" s="49" t="s">
        <v>46</v>
      </c>
      <c r="F82" s="49" t="s">
        <v>117</v>
      </c>
      <c r="G82" s="48" t="s">
        <v>91</v>
      </c>
      <c r="H82" s="48">
        <f>ROUND(20,3)</f>
        <v>20</v>
      </c>
      <c r="I82" s="48">
        <v>0</v>
      </c>
      <c r="J82" s="48">
        <f>ROUND(H82,3) * I82</f>
        <v>0</v>
      </c>
      <c r="K82" s="50"/>
      <c r="L82" s="51">
        <f>ROUND(ROUND(H82,3) * ROUND(K82,2),2)</f>
        <v>0</v>
      </c>
    </row>
    <row r="83" spans="1:12" x14ac:dyDescent="0.2">
      <c r="A83" s="58" t="s">
        <v>49</v>
      </c>
      <c r="B83" s="59"/>
      <c r="F83" s="53" t="s">
        <v>17</v>
      </c>
      <c r="L83" s="61"/>
    </row>
    <row r="84" spans="1:12" x14ac:dyDescent="0.2">
      <c r="A84" s="41" t="s">
        <v>51</v>
      </c>
      <c r="B84" s="59"/>
      <c r="F84" s="56" t="s">
        <v>17</v>
      </c>
      <c r="L84" s="61"/>
    </row>
    <row r="85" spans="1:12" ht="90.75" thickBot="1" x14ac:dyDescent="0.25">
      <c r="A85" s="58" t="s">
        <v>53</v>
      </c>
      <c r="B85" s="59"/>
      <c r="F85" s="57" t="s">
        <v>118</v>
      </c>
      <c r="L85" s="61"/>
    </row>
    <row r="86" spans="1:12" ht="13.5" customHeight="1" thickBot="1" x14ac:dyDescent="0.25">
      <c r="B86" s="62" t="s">
        <v>58</v>
      </c>
      <c r="C86" s="63" t="s">
        <v>59</v>
      </c>
      <c r="D86" s="64"/>
      <c r="E86" s="64"/>
      <c r="F86" s="64" t="s">
        <v>85</v>
      </c>
      <c r="G86" s="64"/>
      <c r="H86" s="64"/>
      <c r="I86" s="64"/>
      <c r="J86" s="64"/>
      <c r="K86" s="64"/>
      <c r="L86" s="65">
        <f>SUM(L46:L85)</f>
        <v>0</v>
      </c>
    </row>
    <row r="87" spans="1:12" ht="20.100000000000001" customHeight="1" thickBot="1" x14ac:dyDescent="0.25">
      <c r="A87" s="58" t="s">
        <v>40</v>
      </c>
      <c r="B87" s="66" t="s">
        <v>41</v>
      </c>
      <c r="C87" s="43" t="s">
        <v>119</v>
      </c>
      <c r="D87" s="44"/>
      <c r="E87" s="44"/>
      <c r="F87" s="45" t="s">
        <v>120</v>
      </c>
      <c r="G87" s="44"/>
      <c r="H87" s="44"/>
      <c r="I87" s="44"/>
      <c r="J87" s="44"/>
      <c r="K87" s="44"/>
      <c r="L87" s="46"/>
    </row>
    <row r="88" spans="1:12" ht="11.25" customHeight="1" thickBot="1" x14ac:dyDescent="0.25">
      <c r="A88" s="58" t="s">
        <v>44</v>
      </c>
      <c r="B88" s="47">
        <v>18</v>
      </c>
      <c r="C88" s="48" t="s">
        <v>121</v>
      </c>
      <c r="D88" s="49" t="s">
        <v>17</v>
      </c>
      <c r="E88" s="49" t="s">
        <v>46</v>
      </c>
      <c r="F88" s="49" t="s">
        <v>122</v>
      </c>
      <c r="G88" s="48" t="s">
        <v>91</v>
      </c>
      <c r="H88" s="48">
        <f>ROUND(1,3)</f>
        <v>1</v>
      </c>
      <c r="I88" s="48">
        <v>0</v>
      </c>
      <c r="J88" s="48">
        <f>ROUND(H88,3) * I88</f>
        <v>0</v>
      </c>
      <c r="K88" s="50"/>
      <c r="L88" s="51">
        <f>ROUND(ROUND(H88,3) * ROUND(K88,2),2)</f>
        <v>0</v>
      </c>
    </row>
    <row r="89" spans="1:12" x14ac:dyDescent="0.2">
      <c r="A89" s="58" t="s">
        <v>49</v>
      </c>
      <c r="B89" s="59"/>
      <c r="F89" s="53" t="s">
        <v>17</v>
      </c>
      <c r="L89" s="61"/>
    </row>
    <row r="90" spans="1:12" x14ac:dyDescent="0.2">
      <c r="A90" s="41" t="s">
        <v>51</v>
      </c>
      <c r="B90" s="59"/>
      <c r="F90" s="56" t="s">
        <v>17</v>
      </c>
      <c r="L90" s="61"/>
    </row>
    <row r="91" spans="1:12" ht="113.25" thickBot="1" x14ac:dyDescent="0.25">
      <c r="A91" s="58" t="s">
        <v>53</v>
      </c>
      <c r="B91" s="59"/>
      <c r="F91" s="57" t="s">
        <v>123</v>
      </c>
      <c r="L91" s="61"/>
    </row>
    <row r="92" spans="1:12" ht="13.5" customHeight="1" thickBot="1" x14ac:dyDescent="0.25">
      <c r="B92" s="62" t="s">
        <v>58</v>
      </c>
      <c r="C92" s="63" t="s">
        <v>59</v>
      </c>
      <c r="D92" s="64"/>
      <c r="E92" s="64"/>
      <c r="F92" s="64" t="s">
        <v>120</v>
      </c>
      <c r="G92" s="64"/>
      <c r="H92" s="64"/>
      <c r="I92" s="64"/>
      <c r="J92" s="64"/>
      <c r="K92" s="64"/>
      <c r="L92" s="65">
        <f>SUM(L88:L91)</f>
        <v>0</v>
      </c>
    </row>
    <row r="93" spans="1:12" ht="20.100000000000001" customHeight="1" thickBot="1" x14ac:dyDescent="0.25">
      <c r="A93" s="58" t="s">
        <v>40</v>
      </c>
      <c r="B93" s="66" t="s">
        <v>41</v>
      </c>
      <c r="C93" s="43" t="s">
        <v>124</v>
      </c>
      <c r="D93" s="44"/>
      <c r="E93" s="44"/>
      <c r="F93" s="45" t="s">
        <v>125</v>
      </c>
      <c r="G93" s="44"/>
      <c r="H93" s="44"/>
      <c r="I93" s="44"/>
      <c r="J93" s="44"/>
      <c r="K93" s="44"/>
      <c r="L93" s="46"/>
    </row>
    <row r="94" spans="1:12" ht="11.25" customHeight="1" thickBot="1" x14ac:dyDescent="0.25">
      <c r="A94" s="58" t="s">
        <v>44</v>
      </c>
      <c r="B94" s="47">
        <v>19</v>
      </c>
      <c r="C94" s="48" t="s">
        <v>126</v>
      </c>
      <c r="D94" s="49" t="s">
        <v>17</v>
      </c>
      <c r="E94" s="49" t="s">
        <v>46</v>
      </c>
      <c r="F94" s="49" t="s">
        <v>127</v>
      </c>
      <c r="G94" s="48" t="s">
        <v>128</v>
      </c>
      <c r="H94" s="48">
        <f>ROUND(1.92,3)</f>
        <v>1.92</v>
      </c>
      <c r="I94" s="48">
        <v>0</v>
      </c>
      <c r="J94" s="48">
        <f>ROUND(H94,3) * I94</f>
        <v>0</v>
      </c>
      <c r="K94" s="50"/>
      <c r="L94" s="51">
        <f>ROUND(ROUND(H94,3) * ROUND(K94,2),2)</f>
        <v>0</v>
      </c>
    </row>
    <row r="95" spans="1:12" x14ac:dyDescent="0.2">
      <c r="A95" s="58" t="s">
        <v>49</v>
      </c>
      <c r="B95" s="59"/>
      <c r="F95" s="53" t="s">
        <v>17</v>
      </c>
      <c r="L95" s="61"/>
    </row>
    <row r="96" spans="1:12" ht="33.75" x14ac:dyDescent="0.2">
      <c r="A96" s="41" t="s">
        <v>51</v>
      </c>
      <c r="B96" s="59"/>
      <c r="F96" s="56" t="s">
        <v>129</v>
      </c>
      <c r="L96" s="61"/>
    </row>
    <row r="97" spans="1:12" ht="147" thickBot="1" x14ac:dyDescent="0.25">
      <c r="A97" s="58" t="s">
        <v>53</v>
      </c>
      <c r="B97" s="59"/>
      <c r="F97" s="57" t="s">
        <v>130</v>
      </c>
      <c r="L97" s="61"/>
    </row>
    <row r="98" spans="1:12" ht="11.25" customHeight="1" thickBot="1" x14ac:dyDescent="0.25">
      <c r="A98" s="58" t="s">
        <v>44</v>
      </c>
      <c r="B98" s="47">
        <v>20</v>
      </c>
      <c r="C98" s="48" t="s">
        <v>131</v>
      </c>
      <c r="D98" s="49" t="s">
        <v>17</v>
      </c>
      <c r="E98" s="49" t="s">
        <v>46</v>
      </c>
      <c r="F98" s="49" t="s">
        <v>132</v>
      </c>
      <c r="G98" s="48" t="s">
        <v>128</v>
      </c>
      <c r="H98" s="48">
        <f>ROUND(1.92,3)</f>
        <v>1.92</v>
      </c>
      <c r="I98" s="48">
        <v>0</v>
      </c>
      <c r="J98" s="48">
        <f>ROUND(H98,3) * I98</f>
        <v>0</v>
      </c>
      <c r="K98" s="50"/>
      <c r="L98" s="51">
        <f>ROUND(ROUND(H98,3) * ROUND(K98,2),2)</f>
        <v>0</v>
      </c>
    </row>
    <row r="99" spans="1:12" x14ac:dyDescent="0.2">
      <c r="A99" s="58" t="s">
        <v>49</v>
      </c>
      <c r="B99" s="59"/>
      <c r="F99" s="53" t="s">
        <v>17</v>
      </c>
      <c r="L99" s="61"/>
    </row>
    <row r="100" spans="1:12" x14ac:dyDescent="0.2">
      <c r="A100" s="41" t="s">
        <v>51</v>
      </c>
      <c r="B100" s="59"/>
      <c r="F100" s="56" t="s">
        <v>133</v>
      </c>
      <c r="L100" s="61"/>
    </row>
    <row r="101" spans="1:12" ht="68.25" thickBot="1" x14ac:dyDescent="0.25">
      <c r="A101" s="58" t="s">
        <v>53</v>
      </c>
      <c r="B101" s="59"/>
      <c r="F101" s="57" t="s">
        <v>134</v>
      </c>
      <c r="L101" s="61"/>
    </row>
    <row r="102" spans="1:12" ht="11.25" customHeight="1" thickBot="1" x14ac:dyDescent="0.25">
      <c r="A102" s="58" t="s">
        <v>44</v>
      </c>
      <c r="B102" s="47">
        <v>21</v>
      </c>
      <c r="C102" s="48" t="s">
        <v>135</v>
      </c>
      <c r="D102" s="49" t="s">
        <v>17</v>
      </c>
      <c r="E102" s="49" t="s">
        <v>46</v>
      </c>
      <c r="F102" s="49" t="s">
        <v>136</v>
      </c>
      <c r="G102" s="48" t="s">
        <v>128</v>
      </c>
      <c r="H102" s="48">
        <f>ROUND(25.92,3)</f>
        <v>25.92</v>
      </c>
      <c r="I102" s="48">
        <v>0</v>
      </c>
      <c r="J102" s="48">
        <f>ROUND(H102,3) * I102</f>
        <v>0</v>
      </c>
      <c r="K102" s="50"/>
      <c r="L102" s="51">
        <f>ROUND(ROUND(H102,3) * ROUND(K102,2),2)</f>
        <v>0</v>
      </c>
    </row>
    <row r="103" spans="1:12" x14ac:dyDescent="0.2">
      <c r="A103" s="58" t="s">
        <v>49</v>
      </c>
      <c r="B103" s="59"/>
      <c r="F103" s="53" t="s">
        <v>17</v>
      </c>
      <c r="L103" s="61"/>
    </row>
    <row r="104" spans="1:12" ht="33.75" x14ac:dyDescent="0.2">
      <c r="A104" s="41" t="s">
        <v>51</v>
      </c>
      <c r="B104" s="59"/>
      <c r="F104" s="56" t="s">
        <v>137</v>
      </c>
      <c r="L104" s="61"/>
    </row>
    <row r="105" spans="1:12" ht="135.75" thickBot="1" x14ac:dyDescent="0.25">
      <c r="A105" s="58" t="s">
        <v>53</v>
      </c>
      <c r="B105" s="59"/>
      <c r="F105" s="57" t="s">
        <v>138</v>
      </c>
      <c r="L105" s="61"/>
    </row>
    <row r="106" spans="1:12" ht="11.25" customHeight="1" thickBot="1" x14ac:dyDescent="0.25">
      <c r="A106" s="58" t="s">
        <v>44</v>
      </c>
      <c r="B106" s="47">
        <v>22</v>
      </c>
      <c r="C106" s="48" t="s">
        <v>139</v>
      </c>
      <c r="D106" s="49" t="s">
        <v>17</v>
      </c>
      <c r="E106" s="49" t="s">
        <v>46</v>
      </c>
      <c r="F106" s="49" t="s">
        <v>140</v>
      </c>
      <c r="G106" s="48" t="s">
        <v>128</v>
      </c>
      <c r="H106" s="48">
        <f>ROUND(25.92,3)</f>
        <v>25.92</v>
      </c>
      <c r="I106" s="48">
        <v>0</v>
      </c>
      <c r="J106" s="48">
        <f>ROUND(H106,3) * I106</f>
        <v>0</v>
      </c>
      <c r="K106" s="50"/>
      <c r="L106" s="51">
        <f>ROUND(ROUND(H106,3) * ROUND(K106,2),2)</f>
        <v>0</v>
      </c>
    </row>
    <row r="107" spans="1:12" x14ac:dyDescent="0.2">
      <c r="A107" s="58" t="s">
        <v>49</v>
      </c>
      <c r="B107" s="59"/>
      <c r="F107" s="53" t="s">
        <v>17</v>
      </c>
      <c r="L107" s="61"/>
    </row>
    <row r="108" spans="1:12" ht="33.75" x14ac:dyDescent="0.2">
      <c r="A108" s="41" t="s">
        <v>51</v>
      </c>
      <c r="B108" s="59"/>
      <c r="F108" s="56" t="s">
        <v>137</v>
      </c>
      <c r="L108" s="61"/>
    </row>
    <row r="109" spans="1:12" ht="68.25" thickBot="1" x14ac:dyDescent="0.25">
      <c r="A109" s="58" t="s">
        <v>53</v>
      </c>
      <c r="B109" s="59"/>
      <c r="F109" s="57" t="s">
        <v>134</v>
      </c>
      <c r="L109" s="61"/>
    </row>
    <row r="110" spans="1:12" ht="11.25" customHeight="1" thickBot="1" x14ac:dyDescent="0.25">
      <c r="A110" s="58" t="s">
        <v>44</v>
      </c>
      <c r="B110" s="47">
        <v>23</v>
      </c>
      <c r="C110" s="48" t="s">
        <v>141</v>
      </c>
      <c r="D110" s="49" t="s">
        <v>17</v>
      </c>
      <c r="E110" s="49" t="s">
        <v>46</v>
      </c>
      <c r="F110" s="49" t="s">
        <v>142</v>
      </c>
      <c r="G110" s="48" t="s">
        <v>91</v>
      </c>
      <c r="H110" s="48">
        <f>ROUND(20,3)</f>
        <v>20</v>
      </c>
      <c r="I110" s="48">
        <v>0</v>
      </c>
      <c r="J110" s="48">
        <f>ROUND(H110,3) * I110</f>
        <v>0</v>
      </c>
      <c r="K110" s="50"/>
      <c r="L110" s="51">
        <f>ROUND(ROUND(H110,3) * ROUND(K110,2),2)</f>
        <v>0</v>
      </c>
    </row>
    <row r="111" spans="1:12" x14ac:dyDescent="0.2">
      <c r="A111" s="58" t="s">
        <v>49</v>
      </c>
      <c r="B111" s="59"/>
      <c r="F111" s="53" t="s">
        <v>17</v>
      </c>
      <c r="L111" s="61"/>
    </row>
    <row r="112" spans="1:12" x14ac:dyDescent="0.2">
      <c r="A112" s="41" t="s">
        <v>51</v>
      </c>
      <c r="B112" s="59"/>
      <c r="F112" s="56" t="s">
        <v>17</v>
      </c>
      <c r="L112" s="61"/>
    </row>
    <row r="113" spans="1:12" ht="102" thickBot="1" x14ac:dyDescent="0.25">
      <c r="A113" s="58" t="s">
        <v>53</v>
      </c>
      <c r="B113" s="59"/>
      <c r="F113" s="57" t="s">
        <v>143</v>
      </c>
      <c r="L113" s="61"/>
    </row>
    <row r="114" spans="1:12" ht="11.25" customHeight="1" thickBot="1" x14ac:dyDescent="0.25">
      <c r="A114" s="58" t="s">
        <v>44</v>
      </c>
      <c r="B114" s="47">
        <v>24</v>
      </c>
      <c r="C114" s="48" t="s">
        <v>144</v>
      </c>
      <c r="D114" s="49" t="s">
        <v>17</v>
      </c>
      <c r="E114" s="49" t="s">
        <v>46</v>
      </c>
      <c r="F114" s="49" t="s">
        <v>145</v>
      </c>
      <c r="G114" s="48" t="s">
        <v>91</v>
      </c>
      <c r="H114" s="48">
        <f>ROUND(8,3)</f>
        <v>8</v>
      </c>
      <c r="I114" s="48">
        <v>0</v>
      </c>
      <c r="J114" s="48">
        <f>ROUND(H114,3) * I114</f>
        <v>0</v>
      </c>
      <c r="K114" s="50"/>
      <c r="L114" s="51">
        <f>ROUND(ROUND(H114,3) * ROUND(K114,2),2)</f>
        <v>0</v>
      </c>
    </row>
    <row r="115" spans="1:12" x14ac:dyDescent="0.2">
      <c r="A115" s="58" t="s">
        <v>49</v>
      </c>
      <c r="B115" s="59"/>
      <c r="F115" s="53" t="s">
        <v>17</v>
      </c>
      <c r="L115" s="61"/>
    </row>
    <row r="116" spans="1:12" x14ac:dyDescent="0.2">
      <c r="A116" s="41" t="s">
        <v>51</v>
      </c>
      <c r="B116" s="59"/>
      <c r="F116" s="56" t="s">
        <v>17</v>
      </c>
      <c r="L116" s="61"/>
    </row>
    <row r="117" spans="1:12" ht="102" thickBot="1" x14ac:dyDescent="0.25">
      <c r="A117" s="58" t="s">
        <v>53</v>
      </c>
      <c r="B117" s="59"/>
      <c r="F117" s="57" t="s">
        <v>146</v>
      </c>
      <c r="L117" s="61"/>
    </row>
    <row r="118" spans="1:12" ht="11.25" customHeight="1" thickBot="1" x14ac:dyDescent="0.25">
      <c r="A118" s="58" t="s">
        <v>44</v>
      </c>
      <c r="B118" s="47">
        <v>25</v>
      </c>
      <c r="C118" s="48" t="s">
        <v>147</v>
      </c>
      <c r="D118" s="49" t="s">
        <v>17</v>
      </c>
      <c r="E118" s="49" t="s">
        <v>46</v>
      </c>
      <c r="F118" s="49" t="s">
        <v>148</v>
      </c>
      <c r="G118" s="48" t="s">
        <v>91</v>
      </c>
      <c r="H118" s="48">
        <f>ROUND(26,3)</f>
        <v>26</v>
      </c>
      <c r="I118" s="48">
        <v>0</v>
      </c>
      <c r="J118" s="48">
        <f>ROUND(H118,3) * I118</f>
        <v>0</v>
      </c>
      <c r="K118" s="50"/>
      <c r="L118" s="51">
        <f>ROUND(ROUND(H118,3) * ROUND(K118,2),2)</f>
        <v>0</v>
      </c>
    </row>
    <row r="119" spans="1:12" x14ac:dyDescent="0.2">
      <c r="A119" s="58" t="s">
        <v>49</v>
      </c>
      <c r="B119" s="59"/>
      <c r="F119" s="53" t="s">
        <v>17</v>
      </c>
      <c r="L119" s="61"/>
    </row>
    <row r="120" spans="1:12" x14ac:dyDescent="0.2">
      <c r="A120" s="41" t="s">
        <v>51</v>
      </c>
      <c r="B120" s="59"/>
      <c r="F120" s="56" t="s">
        <v>149</v>
      </c>
      <c r="L120" s="61"/>
    </row>
    <row r="121" spans="1:12" ht="90.75" thickBot="1" x14ac:dyDescent="0.25">
      <c r="A121" s="58" t="s">
        <v>53</v>
      </c>
      <c r="B121" s="59"/>
      <c r="F121" s="57" t="s">
        <v>150</v>
      </c>
      <c r="L121" s="61"/>
    </row>
    <row r="122" spans="1:12" ht="13.5" customHeight="1" thickBot="1" x14ac:dyDescent="0.25">
      <c r="B122" s="62" t="s">
        <v>58</v>
      </c>
      <c r="C122" s="63" t="s">
        <v>59</v>
      </c>
      <c r="D122" s="64"/>
      <c r="E122" s="64"/>
      <c r="F122" s="64" t="s">
        <v>125</v>
      </c>
      <c r="G122" s="64"/>
      <c r="H122" s="64"/>
      <c r="I122" s="64"/>
      <c r="J122" s="64"/>
      <c r="K122" s="64"/>
      <c r="L122" s="65">
        <f>SUM(L94:L121)</f>
        <v>0</v>
      </c>
    </row>
    <row r="123" spans="1:12" ht="20.100000000000001" customHeight="1" thickBot="1" x14ac:dyDescent="0.25">
      <c r="A123" s="58" t="s">
        <v>40</v>
      </c>
      <c r="B123" s="66" t="s">
        <v>41</v>
      </c>
      <c r="C123" s="43" t="s">
        <v>151</v>
      </c>
      <c r="D123" s="44"/>
      <c r="E123" s="44"/>
      <c r="F123" s="45" t="s">
        <v>152</v>
      </c>
      <c r="G123" s="44"/>
      <c r="H123" s="44"/>
      <c r="I123" s="44"/>
      <c r="J123" s="44"/>
      <c r="K123" s="44"/>
      <c r="L123" s="46"/>
    </row>
    <row r="124" spans="1:12" ht="11.25" customHeight="1" thickBot="1" x14ac:dyDescent="0.25">
      <c r="A124" s="58" t="s">
        <v>44</v>
      </c>
      <c r="B124" s="47">
        <v>26</v>
      </c>
      <c r="C124" s="48" t="s">
        <v>153</v>
      </c>
      <c r="D124" s="49" t="s">
        <v>17</v>
      </c>
      <c r="E124" s="49" t="s">
        <v>46</v>
      </c>
      <c r="F124" s="49" t="s">
        <v>154</v>
      </c>
      <c r="G124" s="48" t="s">
        <v>69</v>
      </c>
      <c r="H124" s="48">
        <f>ROUND(20,3)</f>
        <v>20</v>
      </c>
      <c r="I124" s="48">
        <v>0</v>
      </c>
      <c r="J124" s="48">
        <f>ROUND(H124,3) * I124</f>
        <v>0</v>
      </c>
      <c r="K124" s="50"/>
      <c r="L124" s="51">
        <f>ROUND(ROUND(H124,3) * ROUND(K124,2),2)</f>
        <v>0</v>
      </c>
    </row>
    <row r="125" spans="1:12" x14ac:dyDescent="0.2">
      <c r="A125" s="58" t="s">
        <v>49</v>
      </c>
      <c r="B125" s="59"/>
      <c r="F125" s="53" t="s">
        <v>17</v>
      </c>
      <c r="L125" s="61"/>
    </row>
    <row r="126" spans="1:12" x14ac:dyDescent="0.2">
      <c r="A126" s="41" t="s">
        <v>51</v>
      </c>
      <c r="B126" s="59"/>
      <c r="F126" s="56" t="s">
        <v>17</v>
      </c>
      <c r="L126" s="61"/>
    </row>
    <row r="127" spans="1:12" ht="90.75" thickBot="1" x14ac:dyDescent="0.25">
      <c r="A127" s="58" t="s">
        <v>53</v>
      </c>
      <c r="B127" s="59"/>
      <c r="F127" s="57" t="s">
        <v>155</v>
      </c>
      <c r="L127" s="61"/>
    </row>
    <row r="128" spans="1:12" ht="11.25" customHeight="1" thickBot="1" x14ac:dyDescent="0.25">
      <c r="A128" s="58" t="s">
        <v>44</v>
      </c>
      <c r="B128" s="47">
        <v>27</v>
      </c>
      <c r="C128" s="48" t="s">
        <v>156</v>
      </c>
      <c r="D128" s="49" t="s">
        <v>17</v>
      </c>
      <c r="E128" s="49" t="s">
        <v>46</v>
      </c>
      <c r="F128" s="49" t="s">
        <v>157</v>
      </c>
      <c r="G128" s="48" t="s">
        <v>69</v>
      </c>
      <c r="H128" s="48">
        <f>ROUND(20,3)</f>
        <v>20</v>
      </c>
      <c r="I128" s="48">
        <v>0</v>
      </c>
      <c r="J128" s="48">
        <f>ROUND(H128,3) * I128</f>
        <v>0</v>
      </c>
      <c r="K128" s="50"/>
      <c r="L128" s="51">
        <f>ROUND(ROUND(H128,3) * ROUND(K128,2),2)</f>
        <v>0</v>
      </c>
    </row>
    <row r="129" spans="1:12" x14ac:dyDescent="0.2">
      <c r="A129" s="58" t="s">
        <v>49</v>
      </c>
      <c r="B129" s="59"/>
      <c r="F129" s="53" t="s">
        <v>17</v>
      </c>
      <c r="L129" s="61"/>
    </row>
    <row r="130" spans="1:12" x14ac:dyDescent="0.2">
      <c r="A130" s="41" t="s">
        <v>51</v>
      </c>
      <c r="B130" s="59"/>
      <c r="F130" s="56" t="s">
        <v>17</v>
      </c>
      <c r="L130" s="61"/>
    </row>
    <row r="131" spans="1:12" ht="102" thickBot="1" x14ac:dyDescent="0.25">
      <c r="A131" s="58" t="s">
        <v>53</v>
      </c>
      <c r="B131" s="59"/>
      <c r="F131" s="57" t="s">
        <v>158</v>
      </c>
      <c r="L131" s="61"/>
    </row>
    <row r="132" spans="1:12" ht="11.25" customHeight="1" thickBot="1" x14ac:dyDescent="0.25">
      <c r="A132" s="58" t="s">
        <v>44</v>
      </c>
      <c r="B132" s="47">
        <v>28</v>
      </c>
      <c r="C132" s="48" t="s">
        <v>159</v>
      </c>
      <c r="D132" s="49" t="s">
        <v>17</v>
      </c>
      <c r="E132" s="49" t="s">
        <v>46</v>
      </c>
      <c r="F132" s="49" t="s">
        <v>160</v>
      </c>
      <c r="G132" s="48" t="s">
        <v>91</v>
      </c>
      <c r="H132" s="48">
        <f>ROUND(1,3)</f>
        <v>1</v>
      </c>
      <c r="I132" s="48">
        <v>0</v>
      </c>
      <c r="J132" s="48">
        <f>ROUND(H132,3) * I132</f>
        <v>0</v>
      </c>
      <c r="K132" s="50"/>
      <c r="L132" s="51">
        <f>ROUND(ROUND(H132,3) * ROUND(K132,2),2)</f>
        <v>0</v>
      </c>
    </row>
    <row r="133" spans="1:12" x14ac:dyDescent="0.2">
      <c r="A133" s="58" t="s">
        <v>49</v>
      </c>
      <c r="B133" s="59"/>
      <c r="F133" s="53" t="s">
        <v>17</v>
      </c>
      <c r="L133" s="61"/>
    </row>
    <row r="134" spans="1:12" x14ac:dyDescent="0.2">
      <c r="A134" s="41" t="s">
        <v>51</v>
      </c>
      <c r="B134" s="59"/>
      <c r="F134" s="56" t="s">
        <v>17</v>
      </c>
      <c r="L134" s="61"/>
    </row>
    <row r="135" spans="1:12" ht="113.25" thickBot="1" x14ac:dyDescent="0.25">
      <c r="A135" s="58" t="s">
        <v>53</v>
      </c>
      <c r="B135" s="59"/>
      <c r="F135" s="57" t="s">
        <v>161</v>
      </c>
      <c r="L135" s="61"/>
    </row>
    <row r="136" spans="1:12" ht="11.25" customHeight="1" thickBot="1" x14ac:dyDescent="0.25">
      <c r="A136" s="58" t="s">
        <v>44</v>
      </c>
      <c r="B136" s="47">
        <v>29</v>
      </c>
      <c r="C136" s="48" t="s">
        <v>162</v>
      </c>
      <c r="D136" s="49" t="s">
        <v>17</v>
      </c>
      <c r="E136" s="49" t="s">
        <v>46</v>
      </c>
      <c r="F136" s="49" t="s">
        <v>163</v>
      </c>
      <c r="G136" s="48" t="s">
        <v>91</v>
      </c>
      <c r="H136" s="48">
        <f>ROUND(3,3)</f>
        <v>3</v>
      </c>
      <c r="I136" s="48">
        <v>0</v>
      </c>
      <c r="J136" s="48">
        <f>ROUND(H136,3) * I136</f>
        <v>0</v>
      </c>
      <c r="K136" s="50"/>
      <c r="L136" s="51">
        <f>ROUND(ROUND(H136,3) * ROUND(K136,2),2)</f>
        <v>0</v>
      </c>
    </row>
    <row r="137" spans="1:12" x14ac:dyDescent="0.2">
      <c r="A137" s="58" t="s">
        <v>49</v>
      </c>
      <c r="B137" s="59"/>
      <c r="F137" s="53" t="s">
        <v>164</v>
      </c>
      <c r="L137" s="61"/>
    </row>
    <row r="138" spans="1:12" x14ac:dyDescent="0.2">
      <c r="A138" s="41" t="s">
        <v>51</v>
      </c>
      <c r="B138" s="59"/>
      <c r="F138" s="56" t="s">
        <v>17</v>
      </c>
      <c r="L138" s="61"/>
    </row>
    <row r="139" spans="1:12" ht="113.25" thickBot="1" x14ac:dyDescent="0.25">
      <c r="A139" s="58" t="s">
        <v>53</v>
      </c>
      <c r="B139" s="59"/>
      <c r="F139" s="57" t="s">
        <v>165</v>
      </c>
      <c r="L139" s="61"/>
    </row>
    <row r="140" spans="1:12" ht="11.25" customHeight="1" thickBot="1" x14ac:dyDescent="0.25">
      <c r="A140" s="58" t="s">
        <v>44</v>
      </c>
      <c r="B140" s="47">
        <v>55</v>
      </c>
      <c r="C140" s="48" t="s">
        <v>166</v>
      </c>
      <c r="D140" s="49" t="s">
        <v>17</v>
      </c>
      <c r="E140" s="49" t="s">
        <v>46</v>
      </c>
      <c r="F140" s="49" t="s">
        <v>167</v>
      </c>
      <c r="G140" s="48" t="s">
        <v>91</v>
      </c>
      <c r="H140" s="48">
        <f>ROUND(1,3)</f>
        <v>1</v>
      </c>
      <c r="I140" s="48">
        <v>0</v>
      </c>
      <c r="J140" s="48">
        <f>ROUND(H140,3) * I140</f>
        <v>0</v>
      </c>
      <c r="K140" s="50"/>
      <c r="L140" s="51">
        <f>ROUND(ROUND(H140,3) * ROUND(K140,2),2)</f>
        <v>0</v>
      </c>
    </row>
    <row r="141" spans="1:12" x14ac:dyDescent="0.2">
      <c r="A141" s="58" t="s">
        <v>49</v>
      </c>
      <c r="B141" s="59"/>
      <c r="F141" s="53" t="s">
        <v>17</v>
      </c>
      <c r="L141" s="61"/>
    </row>
    <row r="142" spans="1:12" x14ac:dyDescent="0.2">
      <c r="A142" s="41" t="s">
        <v>51</v>
      </c>
      <c r="B142" s="59"/>
      <c r="F142" s="56" t="s">
        <v>17</v>
      </c>
      <c r="L142" s="61"/>
    </row>
    <row r="143" spans="1:12" ht="90.75" thickBot="1" x14ac:dyDescent="0.25">
      <c r="A143" s="58" t="s">
        <v>53</v>
      </c>
      <c r="B143" s="59"/>
      <c r="F143" s="57" t="s">
        <v>168</v>
      </c>
      <c r="L143" s="61"/>
    </row>
    <row r="144" spans="1:12" ht="11.25" customHeight="1" thickBot="1" x14ac:dyDescent="0.25">
      <c r="A144" s="58" t="s">
        <v>44</v>
      </c>
      <c r="B144" s="47">
        <v>56</v>
      </c>
      <c r="C144" s="48" t="s">
        <v>169</v>
      </c>
      <c r="D144" s="49" t="s">
        <v>17</v>
      </c>
      <c r="E144" s="49" t="s">
        <v>46</v>
      </c>
      <c r="F144" s="49" t="s">
        <v>170</v>
      </c>
      <c r="G144" s="48" t="s">
        <v>91</v>
      </c>
      <c r="H144" s="48">
        <f>ROUND(1,3)</f>
        <v>1</v>
      </c>
      <c r="I144" s="48">
        <v>0</v>
      </c>
      <c r="J144" s="48">
        <f>ROUND(H144,3) * I144</f>
        <v>0</v>
      </c>
      <c r="K144" s="50"/>
      <c r="L144" s="51">
        <f>ROUND(ROUND(H144,3) * ROUND(K144,2),2)</f>
        <v>0</v>
      </c>
    </row>
    <row r="145" spans="1:12" x14ac:dyDescent="0.2">
      <c r="A145" s="58" t="s">
        <v>49</v>
      </c>
      <c r="B145" s="59"/>
      <c r="F145" s="53" t="s">
        <v>17</v>
      </c>
      <c r="L145" s="61"/>
    </row>
    <row r="146" spans="1:12" x14ac:dyDescent="0.2">
      <c r="A146" s="41" t="s">
        <v>51</v>
      </c>
      <c r="B146" s="59"/>
      <c r="F146" s="56" t="s">
        <v>17</v>
      </c>
      <c r="L146" s="61"/>
    </row>
    <row r="147" spans="1:12" ht="113.25" thickBot="1" x14ac:dyDescent="0.25">
      <c r="A147" s="58" t="s">
        <v>53</v>
      </c>
      <c r="B147" s="59"/>
      <c r="F147" s="57" t="s">
        <v>171</v>
      </c>
      <c r="L147" s="61"/>
    </row>
    <row r="148" spans="1:12" ht="11.25" customHeight="1" thickBot="1" x14ac:dyDescent="0.25">
      <c r="A148" s="58" t="s">
        <v>44</v>
      </c>
      <c r="B148" s="47">
        <v>57</v>
      </c>
      <c r="C148" s="48" t="s">
        <v>172</v>
      </c>
      <c r="D148" s="49" t="s">
        <v>17</v>
      </c>
      <c r="E148" s="49" t="s">
        <v>46</v>
      </c>
      <c r="F148" s="49" t="s">
        <v>173</v>
      </c>
      <c r="G148" s="48" t="s">
        <v>91</v>
      </c>
      <c r="H148" s="48">
        <f>ROUND(1,3)</f>
        <v>1</v>
      </c>
      <c r="I148" s="48">
        <v>0</v>
      </c>
      <c r="J148" s="48">
        <f>ROUND(H148,3) * I148</f>
        <v>0</v>
      </c>
      <c r="K148" s="50"/>
      <c r="L148" s="51">
        <f>ROUND(ROUND(H148,3) * ROUND(K148,2),2)</f>
        <v>0</v>
      </c>
    </row>
    <row r="149" spans="1:12" x14ac:dyDescent="0.2">
      <c r="A149" s="58" t="s">
        <v>49</v>
      </c>
      <c r="B149" s="59"/>
      <c r="F149" s="53" t="s">
        <v>17</v>
      </c>
      <c r="L149" s="61"/>
    </row>
    <row r="150" spans="1:12" x14ac:dyDescent="0.2">
      <c r="A150" s="41" t="s">
        <v>51</v>
      </c>
      <c r="B150" s="59"/>
      <c r="F150" s="56" t="s">
        <v>17</v>
      </c>
      <c r="L150" s="61"/>
    </row>
    <row r="151" spans="1:12" ht="90.75" thickBot="1" x14ac:dyDescent="0.25">
      <c r="A151" s="58" t="s">
        <v>53</v>
      </c>
      <c r="B151" s="59"/>
      <c r="F151" s="57" t="s">
        <v>174</v>
      </c>
      <c r="L151" s="61"/>
    </row>
    <row r="152" spans="1:12" ht="13.5" customHeight="1" thickBot="1" x14ac:dyDescent="0.25">
      <c r="B152" s="62" t="s">
        <v>58</v>
      </c>
      <c r="C152" s="63" t="s">
        <v>59</v>
      </c>
      <c r="D152" s="64"/>
      <c r="E152" s="64"/>
      <c r="F152" s="64" t="s">
        <v>152</v>
      </c>
      <c r="G152" s="64"/>
      <c r="H152" s="64"/>
      <c r="I152" s="64"/>
      <c r="J152" s="64"/>
      <c r="K152" s="64"/>
      <c r="L152" s="65">
        <f>SUM(L124:L151)</f>
        <v>0</v>
      </c>
    </row>
    <row r="153" spans="1:12" ht="20.100000000000001" customHeight="1" thickBot="1" x14ac:dyDescent="0.25">
      <c r="A153" s="58" t="s">
        <v>40</v>
      </c>
      <c r="B153" s="66" t="s">
        <v>41</v>
      </c>
      <c r="C153" s="43" t="s">
        <v>175</v>
      </c>
      <c r="D153" s="44"/>
      <c r="E153" s="44"/>
      <c r="F153" s="45" t="s">
        <v>176</v>
      </c>
      <c r="G153" s="44"/>
      <c r="H153" s="44"/>
      <c r="I153" s="44"/>
      <c r="J153" s="44"/>
      <c r="K153" s="44"/>
      <c r="L153" s="46"/>
    </row>
    <row r="154" spans="1:12" ht="11.25" customHeight="1" thickBot="1" x14ac:dyDescent="0.25">
      <c r="A154" s="58" t="s">
        <v>44</v>
      </c>
      <c r="B154" s="47">
        <v>30</v>
      </c>
      <c r="C154" s="48" t="s">
        <v>177</v>
      </c>
      <c r="D154" s="49" t="s">
        <v>17</v>
      </c>
      <c r="E154" s="49" t="s">
        <v>46</v>
      </c>
      <c r="F154" s="49" t="s">
        <v>178</v>
      </c>
      <c r="G154" s="48" t="s">
        <v>91</v>
      </c>
      <c r="H154" s="48">
        <f>ROUND(5,3)</f>
        <v>5</v>
      </c>
      <c r="I154" s="48">
        <v>0</v>
      </c>
      <c r="J154" s="48">
        <f>ROUND(H154,3) * I154</f>
        <v>0</v>
      </c>
      <c r="K154" s="50"/>
      <c r="L154" s="51">
        <f>ROUND(ROUND(H154,3) * ROUND(K154,2),2)</f>
        <v>0</v>
      </c>
    </row>
    <row r="155" spans="1:12" x14ac:dyDescent="0.2">
      <c r="A155" s="58" t="s">
        <v>49</v>
      </c>
      <c r="B155" s="59"/>
      <c r="F155" s="53" t="s">
        <v>17</v>
      </c>
      <c r="L155" s="61"/>
    </row>
    <row r="156" spans="1:12" x14ac:dyDescent="0.2">
      <c r="A156" s="41" t="s">
        <v>51</v>
      </c>
      <c r="B156" s="59"/>
      <c r="F156" s="56" t="s">
        <v>17</v>
      </c>
      <c r="L156" s="61"/>
    </row>
    <row r="157" spans="1:12" ht="124.5" thickBot="1" x14ac:dyDescent="0.25">
      <c r="A157" s="58" t="s">
        <v>53</v>
      </c>
      <c r="B157" s="59"/>
      <c r="F157" s="57" t="s">
        <v>179</v>
      </c>
      <c r="L157" s="61"/>
    </row>
    <row r="158" spans="1:12" ht="11.25" customHeight="1" thickBot="1" x14ac:dyDescent="0.25">
      <c r="A158" s="58" t="s">
        <v>44</v>
      </c>
      <c r="B158" s="47">
        <v>31</v>
      </c>
      <c r="C158" s="48" t="s">
        <v>180</v>
      </c>
      <c r="D158" s="49" t="s">
        <v>17</v>
      </c>
      <c r="E158" s="49" t="s">
        <v>46</v>
      </c>
      <c r="F158" s="49" t="s">
        <v>181</v>
      </c>
      <c r="G158" s="48" t="s">
        <v>91</v>
      </c>
      <c r="H158" s="48">
        <f>ROUND(12,3)</f>
        <v>12</v>
      </c>
      <c r="I158" s="48">
        <v>0</v>
      </c>
      <c r="J158" s="48">
        <f>ROUND(H158,3) * I158</f>
        <v>0</v>
      </c>
      <c r="K158" s="50"/>
      <c r="L158" s="51">
        <f>ROUND(ROUND(H158,3) * ROUND(K158,2),2)</f>
        <v>0</v>
      </c>
    </row>
    <row r="159" spans="1:12" x14ac:dyDescent="0.2">
      <c r="A159" s="58" t="s">
        <v>49</v>
      </c>
      <c r="B159" s="59"/>
      <c r="F159" s="53" t="s">
        <v>17</v>
      </c>
      <c r="L159" s="61"/>
    </row>
    <row r="160" spans="1:12" x14ac:dyDescent="0.2">
      <c r="A160" s="41" t="s">
        <v>51</v>
      </c>
      <c r="B160" s="59"/>
      <c r="F160" s="56" t="s">
        <v>17</v>
      </c>
      <c r="L160" s="61"/>
    </row>
    <row r="161" spans="1:12" ht="102" thickBot="1" x14ac:dyDescent="0.25">
      <c r="A161" s="58" t="s">
        <v>53</v>
      </c>
      <c r="B161" s="59"/>
      <c r="F161" s="57" t="s">
        <v>182</v>
      </c>
      <c r="L161" s="61"/>
    </row>
    <row r="162" spans="1:12" ht="11.25" customHeight="1" thickBot="1" x14ac:dyDescent="0.25">
      <c r="A162" s="58" t="s">
        <v>44</v>
      </c>
      <c r="B162" s="47">
        <v>32</v>
      </c>
      <c r="C162" s="48" t="s">
        <v>183</v>
      </c>
      <c r="D162" s="49" t="s">
        <v>17</v>
      </c>
      <c r="E162" s="49" t="s">
        <v>46</v>
      </c>
      <c r="F162" s="49" t="s">
        <v>184</v>
      </c>
      <c r="G162" s="48" t="s">
        <v>91</v>
      </c>
      <c r="H162" s="48">
        <f>ROUND(12,3)</f>
        <v>12</v>
      </c>
      <c r="I162" s="48">
        <v>0</v>
      </c>
      <c r="J162" s="48">
        <f>ROUND(H162,3) * I162</f>
        <v>0</v>
      </c>
      <c r="K162" s="50"/>
      <c r="L162" s="51">
        <f>ROUND(ROUND(H162,3) * ROUND(K162,2),2)</f>
        <v>0</v>
      </c>
    </row>
    <row r="163" spans="1:12" x14ac:dyDescent="0.2">
      <c r="A163" s="58" t="s">
        <v>49</v>
      </c>
      <c r="B163" s="59"/>
      <c r="F163" s="53" t="s">
        <v>17</v>
      </c>
      <c r="L163" s="61"/>
    </row>
    <row r="164" spans="1:12" x14ac:dyDescent="0.2">
      <c r="A164" s="41" t="s">
        <v>51</v>
      </c>
      <c r="B164" s="59"/>
      <c r="F164" s="56" t="s">
        <v>17</v>
      </c>
      <c r="L164" s="61"/>
    </row>
    <row r="165" spans="1:12" ht="90.75" thickBot="1" x14ac:dyDescent="0.25">
      <c r="A165" s="58" t="s">
        <v>53</v>
      </c>
      <c r="B165" s="59"/>
      <c r="F165" s="57" t="s">
        <v>185</v>
      </c>
      <c r="L165" s="61"/>
    </row>
    <row r="166" spans="1:12" ht="11.25" customHeight="1" thickBot="1" x14ac:dyDescent="0.25">
      <c r="A166" s="58" t="s">
        <v>44</v>
      </c>
      <c r="B166" s="47">
        <v>33</v>
      </c>
      <c r="C166" s="48" t="s">
        <v>186</v>
      </c>
      <c r="D166" s="49" t="s">
        <v>17</v>
      </c>
      <c r="E166" s="49" t="s">
        <v>46</v>
      </c>
      <c r="F166" s="49" t="s">
        <v>187</v>
      </c>
      <c r="G166" s="48" t="s">
        <v>91</v>
      </c>
      <c r="H166" s="48">
        <f>ROUND(1,3)</f>
        <v>1</v>
      </c>
      <c r="I166" s="48">
        <v>0</v>
      </c>
      <c r="J166" s="48">
        <f>ROUND(H166,3) * I166</f>
        <v>0</v>
      </c>
      <c r="K166" s="50"/>
      <c r="L166" s="51">
        <f>ROUND(ROUND(H166,3) * ROUND(K166,2),2)</f>
        <v>0</v>
      </c>
    </row>
    <row r="167" spans="1:12" x14ac:dyDescent="0.2">
      <c r="A167" s="58" t="s">
        <v>49</v>
      </c>
      <c r="B167" s="59"/>
      <c r="F167" s="53" t="s">
        <v>17</v>
      </c>
      <c r="L167" s="61"/>
    </row>
    <row r="168" spans="1:12" x14ac:dyDescent="0.2">
      <c r="A168" s="41" t="s">
        <v>51</v>
      </c>
      <c r="B168" s="59"/>
      <c r="F168" s="56" t="s">
        <v>17</v>
      </c>
      <c r="L168" s="61"/>
    </row>
    <row r="169" spans="1:12" ht="90.75" thickBot="1" x14ac:dyDescent="0.25">
      <c r="A169" s="58" t="s">
        <v>53</v>
      </c>
      <c r="B169" s="59"/>
      <c r="F169" s="57" t="s">
        <v>188</v>
      </c>
      <c r="L169" s="61"/>
    </row>
    <row r="170" spans="1:12" ht="11.25" customHeight="1" thickBot="1" x14ac:dyDescent="0.25">
      <c r="A170" s="58" t="s">
        <v>44</v>
      </c>
      <c r="B170" s="47">
        <v>34</v>
      </c>
      <c r="C170" s="48" t="s">
        <v>189</v>
      </c>
      <c r="D170" s="49" t="s">
        <v>17</v>
      </c>
      <c r="E170" s="49" t="s">
        <v>46</v>
      </c>
      <c r="F170" s="49" t="s">
        <v>190</v>
      </c>
      <c r="G170" s="48" t="s">
        <v>91</v>
      </c>
      <c r="H170" s="48">
        <f>ROUND(1,3)</f>
        <v>1</v>
      </c>
      <c r="I170" s="48">
        <v>0</v>
      </c>
      <c r="J170" s="48">
        <f>ROUND(H170,3) * I170</f>
        <v>0</v>
      </c>
      <c r="K170" s="50"/>
      <c r="L170" s="51">
        <f>ROUND(ROUND(H170,3) * ROUND(K170,2),2)</f>
        <v>0</v>
      </c>
    </row>
    <row r="171" spans="1:12" x14ac:dyDescent="0.2">
      <c r="A171" s="58" t="s">
        <v>49</v>
      </c>
      <c r="B171" s="59"/>
      <c r="F171" s="53" t="s">
        <v>17</v>
      </c>
      <c r="L171" s="61"/>
    </row>
    <row r="172" spans="1:12" x14ac:dyDescent="0.2">
      <c r="A172" s="41" t="s">
        <v>51</v>
      </c>
      <c r="B172" s="59"/>
      <c r="F172" s="56" t="s">
        <v>17</v>
      </c>
      <c r="L172" s="61"/>
    </row>
    <row r="173" spans="1:12" ht="113.25" thickBot="1" x14ac:dyDescent="0.25">
      <c r="A173" s="58" t="s">
        <v>53</v>
      </c>
      <c r="B173" s="59"/>
      <c r="F173" s="57" t="s">
        <v>191</v>
      </c>
      <c r="L173" s="61"/>
    </row>
    <row r="174" spans="1:12" ht="11.25" customHeight="1" thickBot="1" x14ac:dyDescent="0.25">
      <c r="A174" s="58" t="s">
        <v>44</v>
      </c>
      <c r="B174" s="47">
        <v>35</v>
      </c>
      <c r="C174" s="48" t="s">
        <v>192</v>
      </c>
      <c r="D174" s="49" t="s">
        <v>17</v>
      </c>
      <c r="E174" s="49" t="s">
        <v>46</v>
      </c>
      <c r="F174" s="49" t="s">
        <v>193</v>
      </c>
      <c r="G174" s="48" t="s">
        <v>91</v>
      </c>
      <c r="H174" s="48">
        <f>ROUND(5,3)</f>
        <v>5</v>
      </c>
      <c r="I174" s="48">
        <v>0</v>
      </c>
      <c r="J174" s="48">
        <f>ROUND(H174,3) * I174</f>
        <v>0</v>
      </c>
      <c r="K174" s="50"/>
      <c r="L174" s="51">
        <f>ROUND(ROUND(H174,3) * ROUND(K174,2),2)</f>
        <v>0</v>
      </c>
    </row>
    <row r="175" spans="1:12" x14ac:dyDescent="0.2">
      <c r="A175" s="58" t="s">
        <v>49</v>
      </c>
      <c r="B175" s="59"/>
      <c r="F175" s="53" t="s">
        <v>17</v>
      </c>
      <c r="L175" s="61"/>
    </row>
    <row r="176" spans="1:12" x14ac:dyDescent="0.2">
      <c r="A176" s="41" t="s">
        <v>51</v>
      </c>
      <c r="B176" s="59"/>
      <c r="F176" s="56" t="s">
        <v>17</v>
      </c>
      <c r="L176" s="61"/>
    </row>
    <row r="177" spans="1:12" ht="90.75" thickBot="1" x14ac:dyDescent="0.25">
      <c r="A177" s="58" t="s">
        <v>53</v>
      </c>
      <c r="B177" s="59"/>
      <c r="F177" s="57" t="s">
        <v>194</v>
      </c>
      <c r="L177" s="61"/>
    </row>
    <row r="178" spans="1:12" ht="11.25" customHeight="1" thickBot="1" x14ac:dyDescent="0.25">
      <c r="A178" s="58" t="s">
        <v>44</v>
      </c>
      <c r="B178" s="47">
        <v>36</v>
      </c>
      <c r="C178" s="48" t="s">
        <v>195</v>
      </c>
      <c r="D178" s="49" t="s">
        <v>17</v>
      </c>
      <c r="E178" s="49" t="s">
        <v>46</v>
      </c>
      <c r="F178" s="49" t="s">
        <v>196</v>
      </c>
      <c r="G178" s="48" t="s">
        <v>91</v>
      </c>
      <c r="H178" s="48">
        <f>ROUND(2,3)</f>
        <v>2</v>
      </c>
      <c r="I178" s="48">
        <v>0</v>
      </c>
      <c r="J178" s="48">
        <f>ROUND(H178,3) * I178</f>
        <v>0</v>
      </c>
      <c r="K178" s="50"/>
      <c r="L178" s="51">
        <f>ROUND(ROUND(H178,3) * ROUND(K178,2),2)</f>
        <v>0</v>
      </c>
    </row>
    <row r="179" spans="1:12" x14ac:dyDescent="0.2">
      <c r="A179" s="58" t="s">
        <v>49</v>
      </c>
      <c r="B179" s="59"/>
      <c r="F179" s="53" t="s">
        <v>17</v>
      </c>
      <c r="L179" s="61"/>
    </row>
    <row r="180" spans="1:12" x14ac:dyDescent="0.2">
      <c r="A180" s="41" t="s">
        <v>51</v>
      </c>
      <c r="B180" s="59"/>
      <c r="F180" s="56" t="s">
        <v>17</v>
      </c>
      <c r="L180" s="61"/>
    </row>
    <row r="181" spans="1:12" ht="102" thickBot="1" x14ac:dyDescent="0.25">
      <c r="A181" s="58" t="s">
        <v>53</v>
      </c>
      <c r="B181" s="59"/>
      <c r="F181" s="57" t="s">
        <v>197</v>
      </c>
      <c r="L181" s="61"/>
    </row>
    <row r="182" spans="1:12" ht="11.25" customHeight="1" thickBot="1" x14ac:dyDescent="0.25">
      <c r="A182" s="58" t="s">
        <v>44</v>
      </c>
      <c r="B182" s="47">
        <v>37</v>
      </c>
      <c r="C182" s="48" t="s">
        <v>195</v>
      </c>
      <c r="D182" s="49" t="s">
        <v>198</v>
      </c>
      <c r="E182" s="49" t="s">
        <v>46</v>
      </c>
      <c r="F182" s="49" t="s">
        <v>199</v>
      </c>
      <c r="G182" s="48" t="s">
        <v>91</v>
      </c>
      <c r="H182" s="48">
        <f>ROUND(2,3)</f>
        <v>2</v>
      </c>
      <c r="I182" s="48">
        <v>0</v>
      </c>
      <c r="J182" s="48">
        <f>ROUND(H182,3) * I182</f>
        <v>0</v>
      </c>
      <c r="K182" s="50"/>
      <c r="L182" s="51">
        <f>ROUND(ROUND(H182,3) * ROUND(K182,2),2)</f>
        <v>0</v>
      </c>
    </row>
    <row r="183" spans="1:12" x14ac:dyDescent="0.2">
      <c r="A183" s="58" t="s">
        <v>49</v>
      </c>
      <c r="B183" s="59"/>
      <c r="F183" s="53" t="s">
        <v>17</v>
      </c>
      <c r="L183" s="61"/>
    </row>
    <row r="184" spans="1:12" x14ac:dyDescent="0.2">
      <c r="A184" s="41" t="s">
        <v>51</v>
      </c>
      <c r="B184" s="59"/>
      <c r="F184" s="56" t="s">
        <v>17</v>
      </c>
      <c r="L184" s="61"/>
    </row>
    <row r="185" spans="1:12" ht="102" thickBot="1" x14ac:dyDescent="0.25">
      <c r="A185" s="58" t="s">
        <v>53</v>
      </c>
      <c r="B185" s="59"/>
      <c r="F185" s="57" t="s">
        <v>197</v>
      </c>
      <c r="L185" s="61"/>
    </row>
    <row r="186" spans="1:12" ht="11.25" customHeight="1" thickBot="1" x14ac:dyDescent="0.25">
      <c r="A186" s="58" t="s">
        <v>44</v>
      </c>
      <c r="B186" s="47">
        <v>38</v>
      </c>
      <c r="C186" s="48" t="s">
        <v>195</v>
      </c>
      <c r="D186" s="49" t="s">
        <v>200</v>
      </c>
      <c r="E186" s="49" t="s">
        <v>46</v>
      </c>
      <c r="F186" s="49" t="s">
        <v>201</v>
      </c>
      <c r="G186" s="48" t="s">
        <v>91</v>
      </c>
      <c r="H186" s="48">
        <f>ROUND(1,3)</f>
        <v>1</v>
      </c>
      <c r="I186" s="48">
        <v>0</v>
      </c>
      <c r="J186" s="48">
        <f>ROUND(H186,3) * I186</f>
        <v>0</v>
      </c>
      <c r="K186" s="50"/>
      <c r="L186" s="51">
        <f>ROUND(ROUND(H186,3) * ROUND(K186,2),2)</f>
        <v>0</v>
      </c>
    </row>
    <row r="187" spans="1:12" x14ac:dyDescent="0.2">
      <c r="A187" s="58" t="s">
        <v>49</v>
      </c>
      <c r="B187" s="59"/>
      <c r="F187" s="53" t="s">
        <v>17</v>
      </c>
      <c r="L187" s="61"/>
    </row>
    <row r="188" spans="1:12" x14ac:dyDescent="0.2">
      <c r="A188" s="41" t="s">
        <v>51</v>
      </c>
      <c r="B188" s="59"/>
      <c r="F188" s="56" t="s">
        <v>17</v>
      </c>
      <c r="L188" s="61"/>
    </row>
    <row r="189" spans="1:12" ht="102" thickBot="1" x14ac:dyDescent="0.25">
      <c r="A189" s="58" t="s">
        <v>53</v>
      </c>
      <c r="B189" s="59"/>
      <c r="F189" s="57" t="s">
        <v>197</v>
      </c>
      <c r="L189" s="61"/>
    </row>
    <row r="190" spans="1:12" ht="13.5" customHeight="1" thickBot="1" x14ac:dyDescent="0.25">
      <c r="B190" s="62" t="s">
        <v>58</v>
      </c>
      <c r="C190" s="63" t="s">
        <v>59</v>
      </c>
      <c r="D190" s="64"/>
      <c r="E190" s="64"/>
      <c r="F190" s="64" t="s">
        <v>176</v>
      </c>
      <c r="G190" s="64"/>
      <c r="H190" s="64"/>
      <c r="I190" s="64"/>
      <c r="J190" s="64"/>
      <c r="K190" s="64"/>
      <c r="L190" s="65">
        <f>SUM(L154:L189)</f>
        <v>0</v>
      </c>
    </row>
    <row r="191" spans="1:12" ht="20.100000000000001" customHeight="1" thickBot="1" x14ac:dyDescent="0.25">
      <c r="A191" s="58" t="s">
        <v>40</v>
      </c>
      <c r="B191" s="66" t="s">
        <v>41</v>
      </c>
      <c r="C191" s="43" t="s">
        <v>202</v>
      </c>
      <c r="D191" s="44"/>
      <c r="E191" s="44"/>
      <c r="F191" s="45" t="s">
        <v>203</v>
      </c>
      <c r="G191" s="44"/>
      <c r="H191" s="44"/>
      <c r="I191" s="44"/>
      <c r="J191" s="44"/>
      <c r="K191" s="44"/>
      <c r="L191" s="46"/>
    </row>
    <row r="192" spans="1:12" ht="11.25" customHeight="1" thickBot="1" x14ac:dyDescent="0.25">
      <c r="A192" s="58" t="s">
        <v>44</v>
      </c>
      <c r="B192" s="47">
        <v>39</v>
      </c>
      <c r="C192" s="48" t="s">
        <v>204</v>
      </c>
      <c r="D192" s="49" t="s">
        <v>17</v>
      </c>
      <c r="E192" s="49" t="s">
        <v>46</v>
      </c>
      <c r="F192" s="49" t="s">
        <v>205</v>
      </c>
      <c r="G192" s="48" t="s">
        <v>91</v>
      </c>
      <c r="H192" s="48">
        <f>ROUND(1,3)</f>
        <v>1</v>
      </c>
      <c r="I192" s="48">
        <v>0</v>
      </c>
      <c r="J192" s="48">
        <f>ROUND(H192,3) * I192</f>
        <v>0</v>
      </c>
      <c r="K192" s="50"/>
      <c r="L192" s="51">
        <f>ROUND(ROUND(H192,3) * ROUND(K192,2),2)</f>
        <v>0</v>
      </c>
    </row>
    <row r="193" spans="1:12" x14ac:dyDescent="0.2">
      <c r="A193" s="58" t="s">
        <v>49</v>
      </c>
      <c r="B193" s="59"/>
      <c r="F193" s="53" t="s">
        <v>17</v>
      </c>
      <c r="L193" s="61"/>
    </row>
    <row r="194" spans="1:12" x14ac:dyDescent="0.2">
      <c r="A194" s="41" t="s">
        <v>51</v>
      </c>
      <c r="B194" s="59"/>
      <c r="F194" s="56" t="s">
        <v>17</v>
      </c>
      <c r="L194" s="61"/>
    </row>
    <row r="195" spans="1:12" ht="102" thickBot="1" x14ac:dyDescent="0.25">
      <c r="A195" s="58" t="s">
        <v>53</v>
      </c>
      <c r="B195" s="59"/>
      <c r="F195" s="57" t="s">
        <v>206</v>
      </c>
      <c r="L195" s="61"/>
    </row>
    <row r="196" spans="1:12" ht="11.25" customHeight="1" thickBot="1" x14ac:dyDescent="0.25">
      <c r="A196" s="58" t="s">
        <v>44</v>
      </c>
      <c r="B196" s="47">
        <v>40</v>
      </c>
      <c r="C196" s="48" t="s">
        <v>207</v>
      </c>
      <c r="D196" s="49" t="s">
        <v>17</v>
      </c>
      <c r="E196" s="49" t="s">
        <v>46</v>
      </c>
      <c r="F196" s="49" t="s">
        <v>208</v>
      </c>
      <c r="G196" s="48" t="s">
        <v>91</v>
      </c>
      <c r="H196" s="48">
        <f>ROUND(1,3)</f>
        <v>1</v>
      </c>
      <c r="I196" s="48">
        <v>0</v>
      </c>
      <c r="J196" s="48">
        <f>ROUND(H196,3) * I196</f>
        <v>0</v>
      </c>
      <c r="K196" s="50"/>
      <c r="L196" s="51">
        <f>ROUND(ROUND(H196,3) * ROUND(K196,2),2)</f>
        <v>0</v>
      </c>
    </row>
    <row r="197" spans="1:12" x14ac:dyDescent="0.2">
      <c r="A197" s="58" t="s">
        <v>49</v>
      </c>
      <c r="B197" s="59"/>
      <c r="F197" s="53" t="s">
        <v>17</v>
      </c>
      <c r="L197" s="61"/>
    </row>
    <row r="198" spans="1:12" x14ac:dyDescent="0.2">
      <c r="A198" s="41" t="s">
        <v>51</v>
      </c>
      <c r="B198" s="59"/>
      <c r="F198" s="56" t="s">
        <v>17</v>
      </c>
      <c r="L198" s="61"/>
    </row>
    <row r="199" spans="1:12" ht="102" thickBot="1" x14ac:dyDescent="0.25">
      <c r="A199" s="58" t="s">
        <v>53</v>
      </c>
      <c r="B199" s="59"/>
      <c r="F199" s="57" t="s">
        <v>209</v>
      </c>
      <c r="L199" s="61"/>
    </row>
    <row r="200" spans="1:12" ht="13.5" customHeight="1" thickBot="1" x14ac:dyDescent="0.25">
      <c r="B200" s="62" t="s">
        <v>58</v>
      </c>
      <c r="C200" s="63" t="s">
        <v>59</v>
      </c>
      <c r="D200" s="64"/>
      <c r="E200" s="64"/>
      <c r="F200" s="64" t="s">
        <v>203</v>
      </c>
      <c r="G200" s="64"/>
      <c r="H200" s="64"/>
      <c r="I200" s="64"/>
      <c r="J200" s="64"/>
      <c r="K200" s="64"/>
      <c r="L200" s="65">
        <f>SUM(L192:L199)</f>
        <v>0</v>
      </c>
    </row>
    <row r="201" spans="1:12" ht="20.100000000000001" customHeight="1" thickBot="1" x14ac:dyDescent="0.25">
      <c r="A201" s="58" t="s">
        <v>40</v>
      </c>
      <c r="B201" s="66" t="s">
        <v>41</v>
      </c>
      <c r="C201" s="43" t="s">
        <v>210</v>
      </c>
      <c r="D201" s="44"/>
      <c r="E201" s="44"/>
      <c r="F201" s="45" t="s">
        <v>211</v>
      </c>
      <c r="G201" s="44"/>
      <c r="H201" s="44"/>
      <c r="I201" s="44"/>
      <c r="J201" s="44"/>
      <c r="K201" s="44"/>
      <c r="L201" s="46"/>
    </row>
    <row r="202" spans="1:12" ht="11.25" customHeight="1" thickBot="1" x14ac:dyDescent="0.25">
      <c r="A202" s="58" t="s">
        <v>44</v>
      </c>
      <c r="B202" s="47">
        <v>41</v>
      </c>
      <c r="C202" s="48" t="s">
        <v>212</v>
      </c>
      <c r="D202" s="49" t="s">
        <v>17</v>
      </c>
      <c r="E202" s="49" t="s">
        <v>46</v>
      </c>
      <c r="F202" s="49" t="s">
        <v>213</v>
      </c>
      <c r="G202" s="48" t="s">
        <v>214</v>
      </c>
      <c r="H202" s="48">
        <f>ROUND(20,3)</f>
        <v>20</v>
      </c>
      <c r="I202" s="48">
        <v>0</v>
      </c>
      <c r="J202" s="48">
        <f>ROUND(H202,3) * I202</f>
        <v>0</v>
      </c>
      <c r="K202" s="50"/>
      <c r="L202" s="51">
        <f>ROUND(ROUND(H202,3) * ROUND(K202,2),2)</f>
        <v>0</v>
      </c>
    </row>
    <row r="203" spans="1:12" x14ac:dyDescent="0.2">
      <c r="A203" s="58" t="s">
        <v>49</v>
      </c>
      <c r="B203" s="59"/>
      <c r="F203" s="53" t="s">
        <v>17</v>
      </c>
      <c r="L203" s="61"/>
    </row>
    <row r="204" spans="1:12" x14ac:dyDescent="0.2">
      <c r="A204" s="41" t="s">
        <v>51</v>
      </c>
      <c r="B204" s="59"/>
      <c r="F204" s="56" t="s">
        <v>17</v>
      </c>
      <c r="L204" s="61"/>
    </row>
    <row r="205" spans="1:12" ht="90.75" thickBot="1" x14ac:dyDescent="0.25">
      <c r="A205" s="58" t="s">
        <v>53</v>
      </c>
      <c r="B205" s="59"/>
      <c r="F205" s="57" t="s">
        <v>215</v>
      </c>
      <c r="L205" s="61"/>
    </row>
    <row r="206" spans="1:12" ht="11.25" customHeight="1" thickBot="1" x14ac:dyDescent="0.25">
      <c r="A206" s="58" t="s">
        <v>44</v>
      </c>
      <c r="B206" s="47">
        <v>42</v>
      </c>
      <c r="C206" s="48" t="s">
        <v>216</v>
      </c>
      <c r="D206" s="49" t="s">
        <v>17</v>
      </c>
      <c r="E206" s="49" t="s">
        <v>46</v>
      </c>
      <c r="F206" s="49" t="s">
        <v>217</v>
      </c>
      <c r="G206" s="48" t="s">
        <v>214</v>
      </c>
      <c r="H206" s="48">
        <f>ROUND(40,3)</f>
        <v>40</v>
      </c>
      <c r="I206" s="48">
        <v>0</v>
      </c>
      <c r="J206" s="48">
        <f>ROUND(H206,3) * I206</f>
        <v>0</v>
      </c>
      <c r="K206" s="50"/>
      <c r="L206" s="51">
        <f>ROUND(ROUND(H206,3) * ROUND(K206,2),2)</f>
        <v>0</v>
      </c>
    </row>
    <row r="207" spans="1:12" x14ac:dyDescent="0.2">
      <c r="A207" s="58" t="s">
        <v>49</v>
      </c>
      <c r="B207" s="59"/>
      <c r="F207" s="53" t="s">
        <v>17</v>
      </c>
      <c r="L207" s="61"/>
    </row>
    <row r="208" spans="1:12" x14ac:dyDescent="0.2">
      <c r="A208" s="41" t="s">
        <v>51</v>
      </c>
      <c r="B208" s="59"/>
      <c r="F208" s="56" t="s">
        <v>17</v>
      </c>
      <c r="L208" s="61"/>
    </row>
    <row r="209" spans="1:12" ht="90.75" thickBot="1" x14ac:dyDescent="0.25">
      <c r="A209" s="58" t="s">
        <v>53</v>
      </c>
      <c r="B209" s="59"/>
      <c r="F209" s="57" t="s">
        <v>218</v>
      </c>
      <c r="L209" s="61"/>
    </row>
    <row r="210" spans="1:12" ht="11.25" customHeight="1" thickBot="1" x14ac:dyDescent="0.25">
      <c r="A210" s="58" t="s">
        <v>44</v>
      </c>
      <c r="B210" s="47">
        <v>43</v>
      </c>
      <c r="C210" s="48" t="s">
        <v>219</v>
      </c>
      <c r="D210" s="49" t="s">
        <v>17</v>
      </c>
      <c r="E210" s="49" t="s">
        <v>46</v>
      </c>
      <c r="F210" s="49" t="s">
        <v>220</v>
      </c>
      <c r="G210" s="48" t="s">
        <v>214</v>
      </c>
      <c r="H210" s="48">
        <f>ROUND(16,3)</f>
        <v>16</v>
      </c>
      <c r="I210" s="48">
        <v>0</v>
      </c>
      <c r="J210" s="48">
        <f>ROUND(H210,3) * I210</f>
        <v>0</v>
      </c>
      <c r="K210" s="50"/>
      <c r="L210" s="51">
        <f>ROUND(ROUND(H210,3) * ROUND(K210,2),2)</f>
        <v>0</v>
      </c>
    </row>
    <row r="211" spans="1:12" x14ac:dyDescent="0.2">
      <c r="A211" s="58" t="s">
        <v>49</v>
      </c>
      <c r="B211" s="59"/>
      <c r="F211" s="53" t="s">
        <v>17</v>
      </c>
      <c r="L211" s="61"/>
    </row>
    <row r="212" spans="1:12" x14ac:dyDescent="0.2">
      <c r="A212" s="41" t="s">
        <v>51</v>
      </c>
      <c r="B212" s="59"/>
      <c r="F212" s="56" t="s">
        <v>17</v>
      </c>
      <c r="L212" s="61"/>
    </row>
    <row r="213" spans="1:12" ht="102" thickBot="1" x14ac:dyDescent="0.25">
      <c r="A213" s="58" t="s">
        <v>53</v>
      </c>
      <c r="B213" s="59"/>
      <c r="F213" s="57" t="s">
        <v>221</v>
      </c>
      <c r="L213" s="61"/>
    </row>
    <row r="214" spans="1:12" ht="11.25" customHeight="1" thickBot="1" x14ac:dyDescent="0.25">
      <c r="A214" s="58" t="s">
        <v>44</v>
      </c>
      <c r="B214" s="47">
        <v>44</v>
      </c>
      <c r="C214" s="48" t="s">
        <v>222</v>
      </c>
      <c r="D214" s="49" t="s">
        <v>17</v>
      </c>
      <c r="E214" s="49" t="s">
        <v>46</v>
      </c>
      <c r="F214" s="49" t="s">
        <v>223</v>
      </c>
      <c r="G214" s="48" t="s">
        <v>91</v>
      </c>
      <c r="H214" s="48">
        <f>ROUND(1,3)</f>
        <v>1</v>
      </c>
      <c r="I214" s="48">
        <v>0</v>
      </c>
      <c r="J214" s="48">
        <f>ROUND(H214,3) * I214</f>
        <v>0</v>
      </c>
      <c r="K214" s="50"/>
      <c r="L214" s="51">
        <f>ROUND(ROUND(H214,3) * ROUND(K214,2),2)</f>
        <v>0</v>
      </c>
    </row>
    <row r="215" spans="1:12" x14ac:dyDescent="0.2">
      <c r="A215" s="58" t="s">
        <v>49</v>
      </c>
      <c r="B215" s="59"/>
      <c r="F215" s="53" t="s">
        <v>17</v>
      </c>
      <c r="L215" s="61"/>
    </row>
    <row r="216" spans="1:12" x14ac:dyDescent="0.2">
      <c r="A216" s="41" t="s">
        <v>51</v>
      </c>
      <c r="B216" s="59"/>
      <c r="F216" s="56" t="s">
        <v>17</v>
      </c>
      <c r="L216" s="61"/>
    </row>
    <row r="217" spans="1:12" ht="68.25" thickBot="1" x14ac:dyDescent="0.25">
      <c r="A217" s="58" t="s">
        <v>53</v>
      </c>
      <c r="B217" s="59"/>
      <c r="F217" s="57" t="s">
        <v>224</v>
      </c>
      <c r="L217" s="61"/>
    </row>
    <row r="218" spans="1:12" ht="13.5" customHeight="1" thickBot="1" x14ac:dyDescent="0.25">
      <c r="B218" s="62" t="s">
        <v>58</v>
      </c>
      <c r="C218" s="63" t="s">
        <v>59</v>
      </c>
      <c r="D218" s="64"/>
      <c r="E218" s="64"/>
      <c r="F218" s="64" t="s">
        <v>211</v>
      </c>
      <c r="G218" s="64"/>
      <c r="H218" s="64"/>
      <c r="I218" s="64"/>
      <c r="J218" s="64"/>
      <c r="K218" s="64"/>
      <c r="L218" s="65">
        <f>SUM(L202:L217)</f>
        <v>0</v>
      </c>
    </row>
    <row r="219" spans="1:12" ht="20.100000000000001" customHeight="1" thickBot="1" x14ac:dyDescent="0.25">
      <c r="A219" s="58" t="s">
        <v>40</v>
      </c>
      <c r="B219" s="66" t="s">
        <v>41</v>
      </c>
      <c r="C219" s="43" t="s">
        <v>225</v>
      </c>
      <c r="D219" s="44"/>
      <c r="E219" s="44"/>
      <c r="F219" s="45" t="s">
        <v>226</v>
      </c>
      <c r="G219" s="44"/>
      <c r="H219" s="44"/>
      <c r="I219" s="44"/>
      <c r="J219" s="44"/>
      <c r="K219" s="44"/>
      <c r="L219" s="46"/>
    </row>
    <row r="220" spans="1:12" ht="11.25" customHeight="1" thickBot="1" x14ac:dyDescent="0.25">
      <c r="A220" s="58" t="s">
        <v>44</v>
      </c>
      <c r="B220" s="47">
        <v>45</v>
      </c>
      <c r="C220" s="48" t="s">
        <v>227</v>
      </c>
      <c r="D220" s="49" t="s">
        <v>17</v>
      </c>
      <c r="E220" s="49" t="s">
        <v>46</v>
      </c>
      <c r="F220" s="49" t="s">
        <v>228</v>
      </c>
      <c r="G220" s="48" t="s">
        <v>69</v>
      </c>
      <c r="H220" s="48">
        <f>ROUND(360,3)</f>
        <v>360</v>
      </c>
      <c r="I220" s="48">
        <v>0</v>
      </c>
      <c r="J220" s="48">
        <f>ROUND(H220,3) * I220</f>
        <v>0</v>
      </c>
      <c r="K220" s="50"/>
      <c r="L220" s="51">
        <f>ROUND(ROUND(H220,3) * ROUND(K220,2),2)</f>
        <v>0</v>
      </c>
    </row>
    <row r="221" spans="1:12" x14ac:dyDescent="0.2">
      <c r="A221" s="58" t="s">
        <v>49</v>
      </c>
      <c r="B221" s="59"/>
      <c r="F221" s="53" t="s">
        <v>17</v>
      </c>
      <c r="L221" s="61"/>
    </row>
    <row r="222" spans="1:12" x14ac:dyDescent="0.2">
      <c r="A222" s="41" t="s">
        <v>51</v>
      </c>
      <c r="B222" s="59"/>
      <c r="F222" s="56" t="s">
        <v>229</v>
      </c>
      <c r="L222" s="61"/>
    </row>
    <row r="223" spans="1:12" ht="102" thickBot="1" x14ac:dyDescent="0.25">
      <c r="A223" s="58" t="s">
        <v>53</v>
      </c>
      <c r="B223" s="59"/>
      <c r="F223" s="57" t="s">
        <v>230</v>
      </c>
      <c r="L223" s="61"/>
    </row>
    <row r="224" spans="1:12" ht="11.25" customHeight="1" thickBot="1" x14ac:dyDescent="0.25">
      <c r="A224" s="58" t="s">
        <v>44</v>
      </c>
      <c r="B224" s="47">
        <v>46</v>
      </c>
      <c r="C224" s="48" t="s">
        <v>231</v>
      </c>
      <c r="D224" s="49" t="s">
        <v>17</v>
      </c>
      <c r="E224" s="49" t="s">
        <v>46</v>
      </c>
      <c r="F224" s="49" t="s">
        <v>232</v>
      </c>
      <c r="G224" s="48" t="s">
        <v>233</v>
      </c>
      <c r="H224" s="48">
        <f>ROUND(3.6,3)</f>
        <v>3.6</v>
      </c>
      <c r="I224" s="48">
        <v>0</v>
      </c>
      <c r="J224" s="48">
        <f>ROUND(H224,3) * I224</f>
        <v>0</v>
      </c>
      <c r="K224" s="50"/>
      <c r="L224" s="51">
        <f>ROUND(ROUND(H224,3) * ROUND(K224,2),2)</f>
        <v>0</v>
      </c>
    </row>
    <row r="225" spans="1:12" x14ac:dyDescent="0.2">
      <c r="A225" s="58" t="s">
        <v>49</v>
      </c>
      <c r="B225" s="59"/>
      <c r="F225" s="53" t="s">
        <v>17</v>
      </c>
      <c r="L225" s="61"/>
    </row>
    <row r="226" spans="1:12" x14ac:dyDescent="0.2">
      <c r="A226" s="41" t="s">
        <v>51</v>
      </c>
      <c r="B226" s="59"/>
      <c r="F226" s="56" t="s">
        <v>234</v>
      </c>
      <c r="L226" s="61"/>
    </row>
    <row r="227" spans="1:12" ht="124.5" thickBot="1" x14ac:dyDescent="0.25">
      <c r="A227" s="58" t="s">
        <v>53</v>
      </c>
      <c r="B227" s="59"/>
      <c r="F227" s="57" t="s">
        <v>235</v>
      </c>
      <c r="L227" s="61"/>
    </row>
    <row r="228" spans="1:12" ht="11.25" customHeight="1" thickBot="1" x14ac:dyDescent="0.25">
      <c r="A228" s="58" t="s">
        <v>44</v>
      </c>
      <c r="B228" s="47">
        <v>47</v>
      </c>
      <c r="C228" s="48" t="s">
        <v>236</v>
      </c>
      <c r="D228" s="49" t="s">
        <v>17</v>
      </c>
      <c r="E228" s="49" t="s">
        <v>46</v>
      </c>
      <c r="F228" s="49" t="s">
        <v>237</v>
      </c>
      <c r="G228" s="48" t="s">
        <v>69</v>
      </c>
      <c r="H228" s="48">
        <f>ROUND(1015,3)</f>
        <v>1015</v>
      </c>
      <c r="I228" s="48">
        <v>0</v>
      </c>
      <c r="J228" s="48">
        <f>ROUND(H228,3) * I228</f>
        <v>0</v>
      </c>
      <c r="K228" s="50"/>
      <c r="L228" s="51">
        <f>ROUND(ROUND(H228,3) * ROUND(K228,2),2)</f>
        <v>0</v>
      </c>
    </row>
    <row r="229" spans="1:12" x14ac:dyDescent="0.2">
      <c r="A229" s="58" t="s">
        <v>49</v>
      </c>
      <c r="B229" s="59"/>
      <c r="F229" s="53" t="s">
        <v>17</v>
      </c>
      <c r="L229" s="61"/>
    </row>
    <row r="230" spans="1:12" x14ac:dyDescent="0.2">
      <c r="A230" s="41" t="s">
        <v>51</v>
      </c>
      <c r="B230" s="59"/>
      <c r="F230" s="56" t="s">
        <v>238</v>
      </c>
      <c r="L230" s="61"/>
    </row>
    <row r="231" spans="1:12" ht="102" thickBot="1" x14ac:dyDescent="0.25">
      <c r="A231" s="58" t="s">
        <v>53</v>
      </c>
      <c r="B231" s="59"/>
      <c r="F231" s="57" t="s">
        <v>230</v>
      </c>
      <c r="L231" s="61"/>
    </row>
    <row r="232" spans="1:12" ht="11.25" customHeight="1" thickBot="1" x14ac:dyDescent="0.25">
      <c r="A232" s="58" t="s">
        <v>44</v>
      </c>
      <c r="B232" s="47">
        <v>48</v>
      </c>
      <c r="C232" s="48" t="s">
        <v>239</v>
      </c>
      <c r="D232" s="49" t="s">
        <v>17</v>
      </c>
      <c r="E232" s="49" t="s">
        <v>46</v>
      </c>
      <c r="F232" s="49" t="s">
        <v>240</v>
      </c>
      <c r="G232" s="48" t="s">
        <v>69</v>
      </c>
      <c r="H232" s="48">
        <f>ROUND(1015,3)</f>
        <v>1015</v>
      </c>
      <c r="I232" s="48">
        <v>0</v>
      </c>
      <c r="J232" s="48">
        <f>ROUND(H232,3) * I232</f>
        <v>0</v>
      </c>
      <c r="K232" s="50"/>
      <c r="L232" s="51">
        <f>ROUND(ROUND(H232,3) * ROUND(K232,2),2)</f>
        <v>0</v>
      </c>
    </row>
    <row r="233" spans="1:12" x14ac:dyDescent="0.2">
      <c r="A233" s="58" t="s">
        <v>49</v>
      </c>
      <c r="B233" s="59"/>
      <c r="F233" s="53" t="s">
        <v>17</v>
      </c>
      <c r="L233" s="61"/>
    </row>
    <row r="234" spans="1:12" x14ac:dyDescent="0.2">
      <c r="A234" s="41" t="s">
        <v>51</v>
      </c>
      <c r="B234" s="59"/>
      <c r="F234" s="56" t="s">
        <v>238</v>
      </c>
      <c r="L234" s="61"/>
    </row>
    <row r="235" spans="1:12" ht="124.5" thickBot="1" x14ac:dyDescent="0.25">
      <c r="A235" s="58" t="s">
        <v>53</v>
      </c>
      <c r="B235" s="59"/>
      <c r="F235" s="57" t="s">
        <v>241</v>
      </c>
      <c r="L235" s="61"/>
    </row>
    <row r="236" spans="1:12" ht="11.25" customHeight="1" thickBot="1" x14ac:dyDescent="0.25">
      <c r="A236" s="58" t="s">
        <v>44</v>
      </c>
      <c r="B236" s="47">
        <v>49</v>
      </c>
      <c r="C236" s="48" t="s">
        <v>242</v>
      </c>
      <c r="D236" s="49" t="s">
        <v>17</v>
      </c>
      <c r="E236" s="49" t="s">
        <v>46</v>
      </c>
      <c r="F236" s="49" t="s">
        <v>243</v>
      </c>
      <c r="G236" s="48" t="s">
        <v>244</v>
      </c>
      <c r="H236" s="48">
        <f>ROUND(3,3)</f>
        <v>3</v>
      </c>
      <c r="I236" s="48">
        <v>0</v>
      </c>
      <c r="J236" s="48">
        <f>ROUND(H236,3) * I236</f>
        <v>0</v>
      </c>
      <c r="K236" s="50"/>
      <c r="L236" s="51">
        <f>ROUND(ROUND(H236,3) * ROUND(K236,2),2)</f>
        <v>0</v>
      </c>
    </row>
    <row r="237" spans="1:12" x14ac:dyDescent="0.2">
      <c r="A237" s="58" t="s">
        <v>49</v>
      </c>
      <c r="B237" s="59"/>
      <c r="F237" s="53" t="s">
        <v>17</v>
      </c>
      <c r="L237" s="61"/>
    </row>
    <row r="238" spans="1:12" x14ac:dyDescent="0.2">
      <c r="A238" s="41" t="s">
        <v>51</v>
      </c>
      <c r="B238" s="59"/>
      <c r="F238" s="56" t="s">
        <v>17</v>
      </c>
      <c r="L238" s="61"/>
    </row>
    <row r="239" spans="1:12" ht="113.25" thickBot="1" x14ac:dyDescent="0.25">
      <c r="A239" s="58" t="s">
        <v>53</v>
      </c>
      <c r="B239" s="59"/>
      <c r="F239" s="57" t="s">
        <v>245</v>
      </c>
      <c r="L239" s="61"/>
    </row>
    <row r="240" spans="1:12" ht="11.25" customHeight="1" thickBot="1" x14ac:dyDescent="0.25">
      <c r="A240" s="58" t="s">
        <v>44</v>
      </c>
      <c r="B240" s="47">
        <v>50</v>
      </c>
      <c r="C240" s="48" t="s">
        <v>246</v>
      </c>
      <c r="D240" s="49" t="s">
        <v>17</v>
      </c>
      <c r="E240" s="49" t="s">
        <v>46</v>
      </c>
      <c r="F240" s="49" t="s">
        <v>247</v>
      </c>
      <c r="G240" s="48" t="s">
        <v>69</v>
      </c>
      <c r="H240" s="48">
        <f>ROUND(1015,3)</f>
        <v>1015</v>
      </c>
      <c r="I240" s="48">
        <v>0</v>
      </c>
      <c r="J240" s="48">
        <f>ROUND(H240,3) * I240</f>
        <v>0</v>
      </c>
      <c r="K240" s="50"/>
      <c r="L240" s="51">
        <f>ROUND(ROUND(H240,3) * ROUND(K240,2),2)</f>
        <v>0</v>
      </c>
    </row>
    <row r="241" spans="1:12" x14ac:dyDescent="0.2">
      <c r="A241" s="58" t="s">
        <v>49</v>
      </c>
      <c r="B241" s="59"/>
      <c r="F241" s="53" t="s">
        <v>17</v>
      </c>
      <c r="L241" s="61"/>
    </row>
    <row r="242" spans="1:12" x14ac:dyDescent="0.2">
      <c r="A242" s="41" t="s">
        <v>51</v>
      </c>
      <c r="B242" s="59"/>
      <c r="F242" s="56" t="s">
        <v>238</v>
      </c>
      <c r="L242" s="61"/>
    </row>
    <row r="243" spans="1:12" ht="113.25" thickBot="1" x14ac:dyDescent="0.25">
      <c r="A243" s="58" t="s">
        <v>53</v>
      </c>
      <c r="B243" s="59"/>
      <c r="F243" s="57" t="s">
        <v>248</v>
      </c>
      <c r="L243" s="61"/>
    </row>
    <row r="244" spans="1:12" ht="11.25" customHeight="1" thickBot="1" x14ac:dyDescent="0.25">
      <c r="A244" s="58" t="s">
        <v>44</v>
      </c>
      <c r="B244" s="47">
        <v>51</v>
      </c>
      <c r="C244" s="48" t="s">
        <v>249</v>
      </c>
      <c r="D244" s="49" t="s">
        <v>17</v>
      </c>
      <c r="E244" s="49" t="s">
        <v>46</v>
      </c>
      <c r="F244" s="49" t="s">
        <v>250</v>
      </c>
      <c r="G244" s="48" t="s">
        <v>91</v>
      </c>
      <c r="H244" s="48">
        <f>ROUND(4,3)</f>
        <v>4</v>
      </c>
      <c r="I244" s="48">
        <v>0</v>
      </c>
      <c r="J244" s="48">
        <f>ROUND(H244,3) * I244</f>
        <v>0</v>
      </c>
      <c r="K244" s="50"/>
      <c r="L244" s="51">
        <f>ROUND(ROUND(H244,3) * ROUND(K244,2),2)</f>
        <v>0</v>
      </c>
    </row>
    <row r="245" spans="1:12" x14ac:dyDescent="0.2">
      <c r="A245" s="58" t="s">
        <v>49</v>
      </c>
      <c r="B245" s="59"/>
      <c r="F245" s="53" t="s">
        <v>17</v>
      </c>
      <c r="L245" s="61"/>
    </row>
    <row r="246" spans="1:12" x14ac:dyDescent="0.2">
      <c r="A246" s="41" t="s">
        <v>51</v>
      </c>
      <c r="B246" s="59"/>
      <c r="F246" s="56" t="s">
        <v>17</v>
      </c>
      <c r="L246" s="61"/>
    </row>
    <row r="247" spans="1:12" ht="102" thickBot="1" x14ac:dyDescent="0.25">
      <c r="A247" s="58" t="s">
        <v>53</v>
      </c>
      <c r="B247" s="59"/>
      <c r="F247" s="57" t="s">
        <v>251</v>
      </c>
      <c r="L247" s="61"/>
    </row>
    <row r="248" spans="1:12" ht="11.25" customHeight="1" thickBot="1" x14ac:dyDescent="0.25">
      <c r="A248" s="58" t="s">
        <v>44</v>
      </c>
      <c r="B248" s="47">
        <v>52</v>
      </c>
      <c r="C248" s="48" t="s">
        <v>252</v>
      </c>
      <c r="D248" s="49" t="s">
        <v>17</v>
      </c>
      <c r="E248" s="49" t="s">
        <v>46</v>
      </c>
      <c r="F248" s="49" t="s">
        <v>253</v>
      </c>
      <c r="G248" s="48" t="s">
        <v>91</v>
      </c>
      <c r="H248" s="48">
        <f>ROUND(4,3)</f>
        <v>4</v>
      </c>
      <c r="I248" s="48">
        <v>0</v>
      </c>
      <c r="J248" s="48">
        <f>ROUND(H248,3) * I248</f>
        <v>0</v>
      </c>
      <c r="K248" s="50"/>
      <c r="L248" s="51">
        <f>ROUND(ROUND(H248,3) * ROUND(K248,2),2)</f>
        <v>0</v>
      </c>
    </row>
    <row r="249" spans="1:12" x14ac:dyDescent="0.2">
      <c r="A249" s="58" t="s">
        <v>49</v>
      </c>
      <c r="B249" s="59"/>
      <c r="F249" s="53" t="s">
        <v>17</v>
      </c>
      <c r="L249" s="61"/>
    </row>
    <row r="250" spans="1:12" x14ac:dyDescent="0.2">
      <c r="A250" s="41" t="s">
        <v>51</v>
      </c>
      <c r="B250" s="59"/>
      <c r="F250" s="56" t="s">
        <v>17</v>
      </c>
      <c r="L250" s="61"/>
    </row>
    <row r="251" spans="1:12" ht="135.75" thickBot="1" x14ac:dyDescent="0.25">
      <c r="A251" s="58" t="s">
        <v>53</v>
      </c>
      <c r="B251" s="59"/>
      <c r="F251" s="57" t="s">
        <v>254</v>
      </c>
      <c r="L251" s="61"/>
    </row>
    <row r="252" spans="1:12" ht="11.25" customHeight="1" thickBot="1" x14ac:dyDescent="0.25">
      <c r="A252" s="58" t="s">
        <v>44</v>
      </c>
      <c r="B252" s="47">
        <v>53</v>
      </c>
      <c r="C252" s="48" t="s">
        <v>255</v>
      </c>
      <c r="D252" s="49" t="s">
        <v>17</v>
      </c>
      <c r="E252" s="49" t="s">
        <v>46</v>
      </c>
      <c r="F252" s="49" t="s">
        <v>256</v>
      </c>
      <c r="G252" s="48" t="s">
        <v>91</v>
      </c>
      <c r="H252" s="48">
        <f>ROUND(2,3)</f>
        <v>2</v>
      </c>
      <c r="I252" s="48">
        <v>0</v>
      </c>
      <c r="J252" s="48">
        <f>ROUND(H252,3) * I252</f>
        <v>0</v>
      </c>
      <c r="K252" s="50"/>
      <c r="L252" s="51">
        <f>ROUND(ROUND(H252,3) * ROUND(K252,2),2)</f>
        <v>0</v>
      </c>
    </row>
    <row r="253" spans="1:12" x14ac:dyDescent="0.2">
      <c r="A253" s="58" t="s">
        <v>49</v>
      </c>
      <c r="B253" s="59"/>
      <c r="F253" s="53" t="s">
        <v>17</v>
      </c>
      <c r="L253" s="61"/>
    </row>
    <row r="254" spans="1:12" x14ac:dyDescent="0.2">
      <c r="A254" s="41" t="s">
        <v>51</v>
      </c>
      <c r="B254" s="59"/>
      <c r="F254" s="56" t="s">
        <v>257</v>
      </c>
      <c r="L254" s="61"/>
    </row>
    <row r="255" spans="1:12" ht="90.75" thickBot="1" x14ac:dyDescent="0.25">
      <c r="A255" s="58" t="s">
        <v>53</v>
      </c>
      <c r="B255" s="59"/>
      <c r="F255" s="57" t="s">
        <v>258</v>
      </c>
      <c r="L255" s="61"/>
    </row>
    <row r="256" spans="1:12" ht="11.25" customHeight="1" thickBot="1" x14ac:dyDescent="0.25">
      <c r="A256" s="58" t="s">
        <v>44</v>
      </c>
      <c r="B256" s="47">
        <v>54</v>
      </c>
      <c r="C256" s="48" t="s">
        <v>259</v>
      </c>
      <c r="D256" s="49" t="s">
        <v>17</v>
      </c>
      <c r="E256" s="49" t="s">
        <v>46</v>
      </c>
      <c r="F256" s="49" t="s">
        <v>260</v>
      </c>
      <c r="G256" s="48" t="s">
        <v>91</v>
      </c>
      <c r="H256" s="48">
        <f>ROUND(10,3)</f>
        <v>10</v>
      </c>
      <c r="I256" s="48">
        <v>0</v>
      </c>
      <c r="J256" s="48">
        <f>ROUND(H256,3) * I256</f>
        <v>0</v>
      </c>
      <c r="K256" s="50"/>
      <c r="L256" s="51">
        <f>ROUND(ROUND(H256,3) * ROUND(K256,2),2)</f>
        <v>0</v>
      </c>
    </row>
    <row r="257" spans="1:12" x14ac:dyDescent="0.2">
      <c r="A257" s="58" t="s">
        <v>49</v>
      </c>
      <c r="B257" s="59"/>
      <c r="F257" s="53" t="s">
        <v>17</v>
      </c>
      <c r="L257" s="61"/>
    </row>
    <row r="258" spans="1:12" x14ac:dyDescent="0.2">
      <c r="A258" s="41" t="s">
        <v>51</v>
      </c>
      <c r="B258" s="59"/>
      <c r="F258" s="56" t="s">
        <v>17</v>
      </c>
      <c r="L258" s="61"/>
    </row>
    <row r="259" spans="1:12" ht="113.25" thickBot="1" x14ac:dyDescent="0.25">
      <c r="A259" s="58" t="s">
        <v>53</v>
      </c>
      <c r="B259" s="59"/>
      <c r="F259" s="57" t="s">
        <v>261</v>
      </c>
      <c r="L259" s="61"/>
    </row>
    <row r="260" spans="1:12" ht="11.25" customHeight="1" thickBot="1" x14ac:dyDescent="0.25">
      <c r="A260" s="58" t="s">
        <v>44</v>
      </c>
      <c r="B260" s="47">
        <v>58</v>
      </c>
      <c r="C260" s="48" t="s">
        <v>262</v>
      </c>
      <c r="D260" s="49" t="s">
        <v>17</v>
      </c>
      <c r="E260" s="49" t="s">
        <v>46</v>
      </c>
      <c r="F260" s="49" t="s">
        <v>263</v>
      </c>
      <c r="G260" s="48" t="s">
        <v>91</v>
      </c>
      <c r="H260" s="48">
        <f>ROUND(1,3)</f>
        <v>1</v>
      </c>
      <c r="I260" s="48">
        <v>0</v>
      </c>
      <c r="J260" s="48">
        <f>ROUND(H260,3) * I260</f>
        <v>0</v>
      </c>
      <c r="K260" s="50"/>
      <c r="L260" s="51">
        <f>ROUND(ROUND(H260,3) * ROUND(K260,2),2)</f>
        <v>0</v>
      </c>
    </row>
    <row r="261" spans="1:12" x14ac:dyDescent="0.2">
      <c r="A261" s="58" t="s">
        <v>49</v>
      </c>
      <c r="B261" s="59"/>
      <c r="F261" s="53" t="s">
        <v>17</v>
      </c>
      <c r="L261" s="61"/>
    </row>
    <row r="262" spans="1:12" x14ac:dyDescent="0.2">
      <c r="A262" s="41" t="s">
        <v>51</v>
      </c>
      <c r="B262" s="59"/>
      <c r="F262" s="56" t="s">
        <v>17</v>
      </c>
      <c r="L262" s="61"/>
    </row>
    <row r="263" spans="1:12" ht="135.75" thickBot="1" x14ac:dyDescent="0.25">
      <c r="A263" s="58" t="s">
        <v>53</v>
      </c>
      <c r="B263" s="59"/>
      <c r="F263" s="57" t="s">
        <v>254</v>
      </c>
      <c r="L263" s="61"/>
    </row>
    <row r="264" spans="1:12" ht="13.5" customHeight="1" thickBot="1" x14ac:dyDescent="0.25">
      <c r="B264" s="62" t="s">
        <v>58</v>
      </c>
      <c r="C264" s="63" t="s">
        <v>59</v>
      </c>
      <c r="D264" s="64"/>
      <c r="E264" s="64"/>
      <c r="F264" s="64" t="s">
        <v>226</v>
      </c>
      <c r="G264" s="64"/>
      <c r="H264" s="64"/>
      <c r="I264" s="64"/>
      <c r="J264" s="64"/>
      <c r="K264" s="64"/>
      <c r="L264" s="65">
        <f>SUM(L220:L263)</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206" priority="1">
      <formula>$E$5="Ostatní"</formula>
    </cfRule>
    <cfRule type="expression" dxfId="205"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C25D5341-B03C-4AFC-8861-0226B9034148}"/>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2C8CF2C-91D5-4012-B005-7524CA8DBBB8}">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76F6C1BB-238B-47D3-9628-2000BC411CCD}">
      <formula1>42370</formula1>
      <formula2>55153</formula2>
    </dataValidation>
    <dataValidation allowBlank="1" showInputMessage="1" showErrorMessage="1" promptTitle="S-kód" prompt="Číslo pod kterým je stavba evidovaná v systému SŽDC." sqref="K6" xr:uid="{4C75A85F-541B-4F47-B230-7FFB1E62F103}"/>
    <dataValidation type="date" allowBlank="1" showInputMessage="1" showErrorMessage="1" errorTitle="Špatný datum" error="Datum musí být v rozmezí_x000a_od 1.1.2016_x000a_do 31.12.2050" promptTitle="Vložit datum" prompt="ve formátu: dd.mm.rrrr" sqref="K8" xr:uid="{D1C43A5E-E3C8-4132-9001-649498015527}">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C03F547A-3C31-447E-A645-16EA6C29C687}">
      <formula1>"801,802,803,811,812, 813, 814,815, 817, 821,822, 823,824,825,826,827,828,831,832,833,838,839"</formula1>
    </dataValidation>
    <dataValidation type="list" allowBlank="1" showInputMessage="1" showErrorMessage="1" promptTitle="Výběr stádia dle seznamu:" prompt="Stádium 3_x000a_Stádium 2" sqref="E5" xr:uid="{AC88D85F-3898-4D0D-AF6F-CB5351629072}">
      <formula1>"Stádium 2,Stádium 3"</formula1>
    </dataValidation>
    <dataValidation type="date" allowBlank="1" showInputMessage="1" showErrorMessage="1" sqref="L8" xr:uid="{643820CC-F853-46B9-B1AE-40B3A878A91B}">
      <formula1>42370</formula1>
      <formula2>55153</formula2>
    </dataValidation>
    <dataValidation type="list" allowBlank="1" showInputMessage="1" showErrorMessage="1" sqref="E6" xr:uid="{A608B5F3-583C-4B3A-8D54-BC624E4D9640}">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D3DFC-28DE-4802-A118-D40C1737C336}">
  <sheetPr codeName="List10">
    <pageSetUpPr fitToPage="1"/>
  </sheetPr>
  <dimension ref="A1:O32"/>
  <sheetViews>
    <sheetView showGridLines="0" topLeftCell="B1" zoomScale="85" zoomScaleNormal="85" zoomScaleSheetLayoutView="85" workbookViewId="0">
      <pane ySplit="12" topLeftCell="A13" activePane="bottomLeft" state="frozen"/>
      <selection activeCell="B1" sqref="B1"/>
      <selection pane="bottomLeft" activeCell="K14" sqref="K14:K32"/>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598</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598</v>
      </c>
      <c r="E3" s="79"/>
      <c r="F3" s="80" t="s">
        <v>599</v>
      </c>
      <c r="G3" s="81"/>
      <c r="H3" s="82"/>
      <c r="I3" s="83"/>
      <c r="J3" s="84"/>
      <c r="K3" s="248"/>
      <c r="L3" s="249"/>
    </row>
    <row r="4" spans="1:15" s="67" customFormat="1" ht="18" customHeight="1" thickTop="1" x14ac:dyDescent="0.25">
      <c r="B4" s="256" t="s">
        <v>8</v>
      </c>
      <c r="C4" s="245"/>
      <c r="D4" s="253"/>
      <c r="E4" s="85" t="s">
        <v>600</v>
      </c>
      <c r="F4" s="86" t="str">
        <f>INDEX('[10]Kategorie monitoringu'!A1:B34,MATCH(E4,'[10]Kategorie monitoringu'!A1:A34,0),2)</f>
        <v xml:space="preserve"> Přejezdy a přechody</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198</v>
      </c>
      <c r="D13" s="110"/>
      <c r="E13" s="110"/>
      <c r="F13" s="111" t="s">
        <v>567</v>
      </c>
      <c r="G13" s="110"/>
      <c r="H13" s="110"/>
      <c r="I13" s="110"/>
      <c r="J13" s="110"/>
      <c r="K13" s="110"/>
      <c r="L13" s="112"/>
    </row>
    <row r="14" spans="1:15" s="107" customFormat="1" ht="11.25" customHeight="1" thickBot="1" x14ac:dyDescent="0.3">
      <c r="A14" s="107" t="s">
        <v>44</v>
      </c>
      <c r="B14" s="113">
        <v>1</v>
      </c>
      <c r="C14" s="114" t="s">
        <v>601</v>
      </c>
      <c r="D14" s="115" t="s">
        <v>60</v>
      </c>
      <c r="E14" s="115" t="s">
        <v>46</v>
      </c>
      <c r="F14" s="115" t="s">
        <v>602</v>
      </c>
      <c r="G14" s="114" t="s">
        <v>64</v>
      </c>
      <c r="H14" s="114">
        <f>ROUND(2.025,3)</f>
        <v>2.0249999999999999</v>
      </c>
      <c r="I14" s="114">
        <v>0</v>
      </c>
      <c r="J14" s="114">
        <f>ROUND(H14,3) * I14</f>
        <v>0</v>
      </c>
      <c r="K14" s="116"/>
      <c r="L14" s="117">
        <f>ROUND(ROUND(H14,3) * ROUND(K14,2),2)</f>
        <v>0</v>
      </c>
    </row>
    <row r="15" spans="1:15" s="107" customFormat="1" x14ac:dyDescent="0.25">
      <c r="A15" s="107" t="s">
        <v>49</v>
      </c>
      <c r="B15" s="118"/>
      <c r="F15" s="119" t="s">
        <v>603</v>
      </c>
      <c r="G15" s="120"/>
      <c r="H15" s="120"/>
      <c r="I15" s="120"/>
      <c r="J15" s="120"/>
      <c r="K15" s="120"/>
      <c r="L15" s="121"/>
    </row>
    <row r="16" spans="1:15" s="107" customFormat="1" ht="22.5" x14ac:dyDescent="0.25">
      <c r="A16" s="107" t="s">
        <v>51</v>
      </c>
      <c r="B16" s="118"/>
      <c r="F16" s="122" t="s">
        <v>604</v>
      </c>
      <c r="G16" s="120"/>
      <c r="H16" s="120"/>
      <c r="I16" s="120"/>
      <c r="J16" s="120"/>
      <c r="K16" s="120"/>
      <c r="L16" s="121"/>
    </row>
    <row r="17" spans="1:12" s="107" customFormat="1" ht="169.5" thickBot="1" x14ac:dyDescent="0.3">
      <c r="A17" s="107" t="s">
        <v>53</v>
      </c>
      <c r="B17" s="118"/>
      <c r="F17" s="123" t="s">
        <v>605</v>
      </c>
      <c r="G17" s="120"/>
      <c r="H17" s="120"/>
      <c r="I17" s="120"/>
      <c r="J17" s="120"/>
      <c r="K17" s="120"/>
      <c r="L17" s="121"/>
    </row>
    <row r="18" spans="1:12" ht="13.5" customHeight="1" thickBot="1" x14ac:dyDescent="0.25">
      <c r="B18" s="128" t="s">
        <v>58</v>
      </c>
      <c r="C18" s="129" t="s">
        <v>59</v>
      </c>
      <c r="D18" s="130"/>
      <c r="E18" s="130"/>
      <c r="F18" s="130" t="s">
        <v>567</v>
      </c>
      <c r="G18" s="130"/>
      <c r="H18" s="130"/>
      <c r="I18" s="130"/>
      <c r="J18" s="130"/>
      <c r="K18" s="130"/>
      <c r="L18" s="131">
        <f>SUM(L14:L17)</f>
        <v>0</v>
      </c>
    </row>
    <row r="19" spans="1:12" ht="20.100000000000001" customHeight="1" thickBot="1" x14ac:dyDescent="0.25">
      <c r="A19" s="124" t="s">
        <v>40</v>
      </c>
      <c r="B19" s="132" t="s">
        <v>41</v>
      </c>
      <c r="C19" s="109" t="s">
        <v>382</v>
      </c>
      <c r="D19" s="110"/>
      <c r="E19" s="110"/>
      <c r="F19" s="111" t="s">
        <v>435</v>
      </c>
      <c r="G19" s="110"/>
      <c r="H19" s="110"/>
      <c r="I19" s="110"/>
      <c r="J19" s="110"/>
      <c r="K19" s="110"/>
      <c r="L19" s="112"/>
    </row>
    <row r="20" spans="1:12" ht="11.25" customHeight="1" thickBot="1" x14ac:dyDescent="0.25">
      <c r="A20" s="124" t="s">
        <v>44</v>
      </c>
      <c r="B20" s="113">
        <v>2</v>
      </c>
      <c r="C20" s="114" t="s">
        <v>606</v>
      </c>
      <c r="D20" s="115" t="s">
        <v>60</v>
      </c>
      <c r="E20" s="115" t="s">
        <v>46</v>
      </c>
      <c r="F20" s="115" t="s">
        <v>607</v>
      </c>
      <c r="G20" s="114" t="s">
        <v>81</v>
      </c>
      <c r="H20" s="114">
        <f>ROUND(26,3)</f>
        <v>26</v>
      </c>
      <c r="I20" s="114">
        <v>0</v>
      </c>
      <c r="J20" s="114">
        <f>ROUND(H20,3) * I20</f>
        <v>0</v>
      </c>
      <c r="K20" s="116"/>
      <c r="L20" s="117">
        <f>ROUND(ROUND(H20,3) * ROUND(K20,2),2)</f>
        <v>0</v>
      </c>
    </row>
    <row r="21" spans="1:12" x14ac:dyDescent="0.2">
      <c r="A21" s="124" t="s">
        <v>49</v>
      </c>
      <c r="B21" s="125"/>
      <c r="F21" s="119" t="s">
        <v>17</v>
      </c>
      <c r="L21" s="127"/>
    </row>
    <row r="22" spans="1:12" x14ac:dyDescent="0.2">
      <c r="A22" s="107" t="s">
        <v>51</v>
      </c>
      <c r="B22" s="125"/>
      <c r="F22" s="122" t="s">
        <v>439</v>
      </c>
      <c r="L22" s="127"/>
    </row>
    <row r="23" spans="1:12" ht="214.5" thickBot="1" x14ac:dyDescent="0.25">
      <c r="A23" s="124" t="s">
        <v>53</v>
      </c>
      <c r="B23" s="125"/>
      <c r="F23" s="123" t="s">
        <v>608</v>
      </c>
      <c r="L23" s="127"/>
    </row>
    <row r="24" spans="1:12" ht="11.25" customHeight="1" thickBot="1" x14ac:dyDescent="0.25">
      <c r="A24" s="124" t="s">
        <v>44</v>
      </c>
      <c r="B24" s="113">
        <v>3</v>
      </c>
      <c r="C24" s="114" t="s">
        <v>609</v>
      </c>
      <c r="D24" s="115" t="s">
        <v>60</v>
      </c>
      <c r="E24" s="115" t="s">
        <v>46</v>
      </c>
      <c r="F24" s="115" t="s">
        <v>610</v>
      </c>
      <c r="G24" s="114" t="s">
        <v>81</v>
      </c>
      <c r="H24" s="114">
        <f>ROUND(26,3)</f>
        <v>26</v>
      </c>
      <c r="I24" s="114">
        <v>0</v>
      </c>
      <c r="J24" s="114">
        <f>ROUND(H24,3) * I24</f>
        <v>0</v>
      </c>
      <c r="K24" s="116"/>
      <c r="L24" s="117">
        <f>ROUND(ROUND(H24,3) * ROUND(K24,2),2)</f>
        <v>0</v>
      </c>
    </row>
    <row r="25" spans="1:12" x14ac:dyDescent="0.2">
      <c r="A25" s="124" t="s">
        <v>49</v>
      </c>
      <c r="B25" s="125"/>
      <c r="F25" s="119" t="s">
        <v>611</v>
      </c>
      <c r="L25" s="127"/>
    </row>
    <row r="26" spans="1:12" x14ac:dyDescent="0.2">
      <c r="A26" s="107" t="s">
        <v>51</v>
      </c>
      <c r="B26" s="125"/>
      <c r="F26" s="122" t="s">
        <v>439</v>
      </c>
      <c r="L26" s="127"/>
    </row>
    <row r="27" spans="1:12" ht="135.75" thickBot="1" x14ac:dyDescent="0.25">
      <c r="A27" s="124" t="s">
        <v>53</v>
      </c>
      <c r="B27" s="125"/>
      <c r="F27" s="123" t="s">
        <v>440</v>
      </c>
      <c r="L27" s="127"/>
    </row>
    <row r="28" spans="1:12" ht="11.25" customHeight="1" thickBot="1" x14ac:dyDescent="0.25">
      <c r="A28" s="124" t="s">
        <v>44</v>
      </c>
      <c r="B28" s="113">
        <v>4</v>
      </c>
      <c r="C28" s="114" t="s">
        <v>612</v>
      </c>
      <c r="D28" s="115" t="s">
        <v>60</v>
      </c>
      <c r="E28" s="115" t="s">
        <v>46</v>
      </c>
      <c r="F28" s="115" t="s">
        <v>613</v>
      </c>
      <c r="G28" s="114" t="s">
        <v>504</v>
      </c>
      <c r="H28" s="114">
        <f>ROUND(52,3)</f>
        <v>52</v>
      </c>
      <c r="I28" s="114">
        <v>0</v>
      </c>
      <c r="J28" s="114">
        <f>ROUND(H28,3) * I28</f>
        <v>0</v>
      </c>
      <c r="K28" s="116"/>
      <c r="L28" s="117">
        <f>ROUND(ROUND(H28,3) * ROUND(K28,2),2)</f>
        <v>0</v>
      </c>
    </row>
    <row r="29" spans="1:12" x14ac:dyDescent="0.2">
      <c r="A29" s="124" t="s">
        <v>49</v>
      </c>
      <c r="B29" s="125"/>
      <c r="F29" s="119" t="s">
        <v>17</v>
      </c>
      <c r="L29" s="127"/>
    </row>
    <row r="30" spans="1:12" x14ac:dyDescent="0.2">
      <c r="A30" s="107" t="s">
        <v>51</v>
      </c>
      <c r="B30" s="125"/>
      <c r="F30" s="122" t="s">
        <v>614</v>
      </c>
      <c r="L30" s="127"/>
    </row>
    <row r="31" spans="1:12" ht="102" thickBot="1" x14ac:dyDescent="0.25">
      <c r="A31" s="124" t="s">
        <v>53</v>
      </c>
      <c r="B31" s="125"/>
      <c r="F31" s="123" t="s">
        <v>615</v>
      </c>
      <c r="L31" s="127"/>
    </row>
    <row r="32" spans="1:12" ht="13.5" customHeight="1" thickBot="1" x14ac:dyDescent="0.25">
      <c r="B32" s="128" t="s">
        <v>58</v>
      </c>
      <c r="C32" s="129" t="s">
        <v>59</v>
      </c>
      <c r="D32" s="130"/>
      <c r="E32" s="130"/>
      <c r="F32" s="130" t="s">
        <v>435</v>
      </c>
      <c r="G32" s="130"/>
      <c r="H32" s="130"/>
      <c r="I32" s="130"/>
      <c r="J32" s="130"/>
      <c r="K32" s="130"/>
      <c r="L32" s="131">
        <f>SUM(L20:L31)</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88" priority="1">
      <formula>$E$5="Ostatní"</formula>
    </cfRule>
    <cfRule type="expression" dxfId="187"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21E2D521-0F94-4FBA-A4BC-F1A30E3D2FA2}"/>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CEC779E2-6DCA-4103-A77D-320EA76B7344}">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8B135F8C-36BB-4D53-9F6F-2A5886BB9717}">
      <formula1>42370</formula1>
      <formula2>55153</formula2>
    </dataValidation>
    <dataValidation allowBlank="1" showInputMessage="1" showErrorMessage="1" promptTitle="S-kód" prompt="Číslo pod kterým je stavba evidovaná v systému SŽDC." sqref="K6" xr:uid="{D1B26557-CF81-4F76-B444-D51758FE83FD}"/>
    <dataValidation type="date" allowBlank="1" showInputMessage="1" showErrorMessage="1" errorTitle="Špatný datum" error="Datum musí být v rozmezí_x000a_od 1.1.2016_x000a_do 31.12.2050" promptTitle="Vložit datum" prompt="ve formátu: dd.mm.rrrr" sqref="K8" xr:uid="{436D2700-451E-4DF0-8120-AF450B244CA5}">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C2FD39F9-384C-4D3D-94D0-40DBC0B484DA}">
      <formula1>"801,802,803,811,812, 813, 814,815, 817, 821,822, 823,824,825,826,827,828,831,832,833,838,839"</formula1>
    </dataValidation>
    <dataValidation type="list" allowBlank="1" showInputMessage="1" showErrorMessage="1" promptTitle="Výběr stádia dle seznamu:" prompt="Stádium 3_x000a_Stádium 2" sqref="E5" xr:uid="{81FA0C18-FE49-4AD4-B83E-8D27FC0ACCE1}">
      <formula1>"Stádium 2,Stádium 3"</formula1>
    </dataValidation>
    <dataValidation type="date" allowBlank="1" showInputMessage="1" showErrorMessage="1" sqref="L8" xr:uid="{729616D4-65DB-4B2F-B5FE-ACC7DB2AAE99}">
      <formula1>42370</formula1>
      <formula2>55153</formula2>
    </dataValidation>
    <dataValidation type="list" allowBlank="1" showInputMessage="1" showErrorMessage="1" sqref="E6" xr:uid="{8C1E7B2E-FCA6-4E1D-9298-1DF7C6AEA302}">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15B1C-F255-4110-8181-3D6D7A865709}">
  <sheetPr codeName="List11">
    <pageSetUpPr fitToPage="1"/>
  </sheetPr>
  <dimension ref="A1:O40"/>
  <sheetViews>
    <sheetView showGridLines="0" topLeftCell="B1" zoomScale="85" zoomScaleNormal="85" zoomScaleSheetLayoutView="85" workbookViewId="0">
      <pane ySplit="12" topLeftCell="A13" activePane="bottomLeft" state="frozen"/>
      <selection activeCell="B1" sqref="B1"/>
      <selection pane="bottomLeft" activeCell="K14" sqref="K14:K39"/>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616</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616</v>
      </c>
      <c r="E3" s="79"/>
      <c r="F3" s="80" t="s">
        <v>617</v>
      </c>
      <c r="G3" s="81"/>
      <c r="H3" s="82"/>
      <c r="I3" s="83"/>
      <c r="J3" s="84"/>
      <c r="K3" s="248"/>
      <c r="L3" s="249"/>
    </row>
    <row r="4" spans="1:15" s="67" customFormat="1" ht="18" customHeight="1" thickTop="1" x14ac:dyDescent="0.25">
      <c r="B4" s="256" t="s">
        <v>8</v>
      </c>
      <c r="C4" s="245"/>
      <c r="D4" s="253"/>
      <c r="E4" s="85" t="s">
        <v>600</v>
      </c>
      <c r="F4" s="86" t="str">
        <f>INDEX('[11]Kategorie monitoringu'!A1:B34,MATCH(E4,'[11]Kategorie monitoringu'!A1:A34,0),2)</f>
        <v xml:space="preserve"> Přejezdy a přechody</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60</v>
      </c>
      <c r="D13" s="110"/>
      <c r="E13" s="110"/>
      <c r="F13" s="111" t="s">
        <v>61</v>
      </c>
      <c r="G13" s="110"/>
      <c r="H13" s="110"/>
      <c r="I13" s="110"/>
      <c r="J13" s="110"/>
      <c r="K13" s="110"/>
      <c r="L13" s="112"/>
    </row>
    <row r="14" spans="1:15" s="107" customFormat="1" ht="11.25" customHeight="1" thickBot="1" x14ac:dyDescent="0.3">
      <c r="A14" s="107" t="s">
        <v>44</v>
      </c>
      <c r="B14" s="113">
        <v>1</v>
      </c>
      <c r="C14" s="114" t="s">
        <v>618</v>
      </c>
      <c r="D14" s="115" t="s">
        <v>60</v>
      </c>
      <c r="E14" s="115" t="s">
        <v>46</v>
      </c>
      <c r="F14" s="115" t="s">
        <v>619</v>
      </c>
      <c r="G14" s="114" t="s">
        <v>64</v>
      </c>
      <c r="H14" s="114">
        <f>ROUND(1.836,3)</f>
        <v>1.8360000000000001</v>
      </c>
      <c r="I14" s="114">
        <v>0</v>
      </c>
      <c r="J14" s="114">
        <f>ROUND(H14,3) * I14</f>
        <v>0</v>
      </c>
      <c r="K14" s="116"/>
      <c r="L14" s="117">
        <f>ROUND(ROUND(H14,3) * ROUND(K14,2),2)</f>
        <v>0</v>
      </c>
    </row>
    <row r="15" spans="1:15" s="107" customFormat="1" x14ac:dyDescent="0.25">
      <c r="A15" s="107" t="s">
        <v>49</v>
      </c>
      <c r="B15" s="118"/>
      <c r="F15" s="119" t="s">
        <v>17</v>
      </c>
      <c r="G15" s="120"/>
      <c r="H15" s="120"/>
      <c r="I15" s="120"/>
      <c r="J15" s="120"/>
      <c r="K15" s="120"/>
      <c r="L15" s="121"/>
    </row>
    <row r="16" spans="1:15" s="107" customFormat="1" x14ac:dyDescent="0.25">
      <c r="A16" s="107" t="s">
        <v>51</v>
      </c>
      <c r="B16" s="118"/>
      <c r="F16" s="122" t="s">
        <v>620</v>
      </c>
      <c r="G16" s="120"/>
      <c r="H16" s="120"/>
      <c r="I16" s="120"/>
      <c r="J16" s="120"/>
      <c r="K16" s="120"/>
      <c r="L16" s="121"/>
    </row>
    <row r="17" spans="1:12" s="107" customFormat="1" ht="45.75" thickBot="1" x14ac:dyDescent="0.3">
      <c r="A17" s="107" t="s">
        <v>53</v>
      </c>
      <c r="B17" s="118"/>
      <c r="F17" s="123" t="s">
        <v>621</v>
      </c>
      <c r="G17" s="120"/>
      <c r="H17" s="120"/>
      <c r="I17" s="120"/>
      <c r="J17" s="120"/>
      <c r="K17" s="120"/>
      <c r="L17" s="121"/>
    </row>
    <row r="18" spans="1:12" ht="13.5" customHeight="1" thickBot="1" x14ac:dyDescent="0.25">
      <c r="B18" s="128" t="s">
        <v>58</v>
      </c>
      <c r="C18" s="129" t="s">
        <v>59</v>
      </c>
      <c r="D18" s="130"/>
      <c r="E18" s="130"/>
      <c r="F18" s="130" t="s">
        <v>61</v>
      </c>
      <c r="G18" s="130"/>
      <c r="H18" s="130"/>
      <c r="I18" s="130"/>
      <c r="J18" s="130"/>
      <c r="K18" s="130"/>
      <c r="L18" s="131">
        <f>SUM(L14:L17)</f>
        <v>0</v>
      </c>
    </row>
    <row r="19" spans="1:12" ht="20.100000000000001" customHeight="1" thickBot="1" x14ac:dyDescent="0.25">
      <c r="A19" s="124" t="s">
        <v>40</v>
      </c>
      <c r="B19" s="132" t="s">
        <v>41</v>
      </c>
      <c r="C19" s="109" t="s">
        <v>198</v>
      </c>
      <c r="D19" s="110"/>
      <c r="E19" s="110"/>
      <c r="F19" s="111" t="s">
        <v>567</v>
      </c>
      <c r="G19" s="110"/>
      <c r="H19" s="110"/>
      <c r="I19" s="110"/>
      <c r="J19" s="110"/>
      <c r="K19" s="110"/>
      <c r="L19" s="112"/>
    </row>
    <row r="20" spans="1:12" ht="11.25" customHeight="1" thickBot="1" x14ac:dyDescent="0.25">
      <c r="A20" s="124" t="s">
        <v>44</v>
      </c>
      <c r="B20" s="113">
        <v>2</v>
      </c>
      <c r="C20" s="114" t="s">
        <v>601</v>
      </c>
      <c r="D20" s="115" t="s">
        <v>60</v>
      </c>
      <c r="E20" s="115" t="s">
        <v>46</v>
      </c>
      <c r="F20" s="115" t="s">
        <v>602</v>
      </c>
      <c r="G20" s="114" t="s">
        <v>64</v>
      </c>
      <c r="H20" s="114">
        <f>ROUND(2.835,3)</f>
        <v>2.835</v>
      </c>
      <c r="I20" s="114">
        <v>0</v>
      </c>
      <c r="J20" s="114">
        <f>ROUND(H20,3) * I20</f>
        <v>0</v>
      </c>
      <c r="K20" s="116"/>
      <c r="L20" s="117">
        <f>ROUND(ROUND(H20,3) * ROUND(K20,2),2)</f>
        <v>0</v>
      </c>
    </row>
    <row r="21" spans="1:12" x14ac:dyDescent="0.2">
      <c r="A21" s="124" t="s">
        <v>49</v>
      </c>
      <c r="B21" s="125"/>
      <c r="F21" s="119" t="s">
        <v>603</v>
      </c>
      <c r="L21" s="127"/>
    </row>
    <row r="22" spans="1:12" ht="22.5" x14ac:dyDescent="0.2">
      <c r="A22" s="107" t="s">
        <v>51</v>
      </c>
      <c r="B22" s="125"/>
      <c r="F22" s="122" t="s">
        <v>622</v>
      </c>
      <c r="L22" s="127"/>
    </row>
    <row r="23" spans="1:12" ht="169.5" thickBot="1" x14ac:dyDescent="0.25">
      <c r="A23" s="124" t="s">
        <v>53</v>
      </c>
      <c r="B23" s="125"/>
      <c r="F23" s="123" t="s">
        <v>605</v>
      </c>
      <c r="L23" s="127"/>
    </row>
    <row r="24" spans="1:12" ht="13.5" customHeight="1" thickBot="1" x14ac:dyDescent="0.25">
      <c r="B24" s="128" t="s">
        <v>58</v>
      </c>
      <c r="C24" s="129" t="s">
        <v>59</v>
      </c>
      <c r="D24" s="130"/>
      <c r="E24" s="130"/>
      <c r="F24" s="130" t="s">
        <v>567</v>
      </c>
      <c r="G24" s="130"/>
      <c r="H24" s="130"/>
      <c r="I24" s="130"/>
      <c r="J24" s="130"/>
      <c r="K24" s="130"/>
      <c r="L24" s="131">
        <f>SUM(L20:L23)</f>
        <v>0</v>
      </c>
    </row>
    <row r="25" spans="1:12" ht="20.100000000000001" customHeight="1" thickBot="1" x14ac:dyDescent="0.25">
      <c r="A25" s="124" t="s">
        <v>40</v>
      </c>
      <c r="B25" s="132" t="s">
        <v>41</v>
      </c>
      <c r="C25" s="109" t="s">
        <v>382</v>
      </c>
      <c r="D25" s="110"/>
      <c r="E25" s="110"/>
      <c r="F25" s="111" t="s">
        <v>435</v>
      </c>
      <c r="G25" s="110"/>
      <c r="H25" s="110"/>
      <c r="I25" s="110"/>
      <c r="J25" s="110"/>
      <c r="K25" s="110"/>
      <c r="L25" s="112"/>
    </row>
    <row r="26" spans="1:12" ht="11.25" customHeight="1" thickBot="1" x14ac:dyDescent="0.25">
      <c r="A26" s="124" t="s">
        <v>44</v>
      </c>
      <c r="B26" s="113">
        <v>3</v>
      </c>
      <c r="C26" s="114" t="s">
        <v>623</v>
      </c>
      <c r="D26" s="115" t="s">
        <v>60</v>
      </c>
      <c r="E26" s="115" t="s">
        <v>46</v>
      </c>
      <c r="F26" s="115" t="s">
        <v>624</v>
      </c>
      <c r="G26" s="114" t="s">
        <v>81</v>
      </c>
      <c r="H26" s="114">
        <f>ROUND(30.6,3)</f>
        <v>30.6</v>
      </c>
      <c r="I26" s="114">
        <v>0</v>
      </c>
      <c r="J26" s="114">
        <f>ROUND(H26,3) * I26</f>
        <v>0</v>
      </c>
      <c r="K26" s="116"/>
      <c r="L26" s="117">
        <f>ROUND(ROUND(H26,3) * ROUND(K26,2),2)</f>
        <v>0</v>
      </c>
    </row>
    <row r="27" spans="1:12" x14ac:dyDescent="0.2">
      <c r="A27" s="124" t="s">
        <v>49</v>
      </c>
      <c r="B27" s="125"/>
      <c r="F27" s="119" t="s">
        <v>625</v>
      </c>
      <c r="L27" s="127"/>
    </row>
    <row r="28" spans="1:12" x14ac:dyDescent="0.2">
      <c r="A28" s="107" t="s">
        <v>51</v>
      </c>
      <c r="B28" s="125"/>
      <c r="F28" s="122" t="s">
        <v>525</v>
      </c>
      <c r="L28" s="127"/>
    </row>
    <row r="29" spans="1:12" ht="214.5" thickBot="1" x14ac:dyDescent="0.25">
      <c r="A29" s="124" t="s">
        <v>53</v>
      </c>
      <c r="B29" s="125"/>
      <c r="F29" s="123" t="s">
        <v>608</v>
      </c>
      <c r="L29" s="127"/>
    </row>
    <row r="30" spans="1:12" ht="11.25" customHeight="1" thickBot="1" x14ac:dyDescent="0.25">
      <c r="A30" s="124" t="s">
        <v>44</v>
      </c>
      <c r="B30" s="113">
        <v>4</v>
      </c>
      <c r="C30" s="114" t="s">
        <v>626</v>
      </c>
      <c r="D30" s="115" t="s">
        <v>60</v>
      </c>
      <c r="E30" s="115" t="s">
        <v>46</v>
      </c>
      <c r="F30" s="115" t="s">
        <v>627</v>
      </c>
      <c r="G30" s="114" t="s">
        <v>81</v>
      </c>
      <c r="H30" s="114">
        <f>ROUND(30.6,3)</f>
        <v>30.6</v>
      </c>
      <c r="I30" s="114">
        <v>0</v>
      </c>
      <c r="J30" s="114">
        <f>ROUND(H30,3) * I30</f>
        <v>0</v>
      </c>
      <c r="K30" s="116"/>
      <c r="L30" s="117">
        <f>ROUND(ROUND(H30,3) * ROUND(K30,2),2)</f>
        <v>0</v>
      </c>
    </row>
    <row r="31" spans="1:12" x14ac:dyDescent="0.2">
      <c r="A31" s="124" t="s">
        <v>49</v>
      </c>
      <c r="B31" s="125"/>
      <c r="F31" s="119" t="s">
        <v>17</v>
      </c>
      <c r="L31" s="127"/>
    </row>
    <row r="32" spans="1:12" x14ac:dyDescent="0.2">
      <c r="A32" s="107" t="s">
        <v>51</v>
      </c>
      <c r="B32" s="125"/>
      <c r="F32" s="122" t="s">
        <v>628</v>
      </c>
      <c r="L32" s="127"/>
    </row>
    <row r="33" spans="1:12" ht="135.75" thickBot="1" x14ac:dyDescent="0.25">
      <c r="A33" s="124" t="s">
        <v>53</v>
      </c>
      <c r="B33" s="125"/>
      <c r="F33" s="123" t="s">
        <v>440</v>
      </c>
      <c r="L33" s="127"/>
    </row>
    <row r="34" spans="1:12" ht="13.5" customHeight="1" thickBot="1" x14ac:dyDescent="0.25">
      <c r="B34" s="128" t="s">
        <v>58</v>
      </c>
      <c r="C34" s="129" t="s">
        <v>59</v>
      </c>
      <c r="D34" s="130"/>
      <c r="E34" s="130"/>
      <c r="F34" s="130" t="s">
        <v>435</v>
      </c>
      <c r="G34" s="130"/>
      <c r="H34" s="130"/>
      <c r="I34" s="130"/>
      <c r="J34" s="130"/>
      <c r="K34" s="130"/>
      <c r="L34" s="131">
        <f>SUM(L26:L33)</f>
        <v>0</v>
      </c>
    </row>
    <row r="35" spans="1:12" ht="20.100000000000001" customHeight="1" thickBot="1" x14ac:dyDescent="0.25">
      <c r="A35" s="124" t="s">
        <v>40</v>
      </c>
      <c r="B35" s="132" t="s">
        <v>41</v>
      </c>
      <c r="C35" s="109" t="s">
        <v>441</v>
      </c>
      <c r="D35" s="110"/>
      <c r="E35" s="110"/>
      <c r="F35" s="111" t="s">
        <v>442</v>
      </c>
      <c r="G35" s="110"/>
      <c r="H35" s="110"/>
      <c r="I35" s="110"/>
      <c r="J35" s="110"/>
      <c r="K35" s="110"/>
      <c r="L35" s="112"/>
    </row>
    <row r="36" spans="1:12" ht="11.25" customHeight="1" thickBot="1" x14ac:dyDescent="0.25">
      <c r="A36" s="124" t="s">
        <v>44</v>
      </c>
      <c r="B36" s="113">
        <v>5</v>
      </c>
      <c r="C36" s="114" t="s">
        <v>629</v>
      </c>
      <c r="D36" s="115" t="s">
        <v>508</v>
      </c>
      <c r="E36" s="115"/>
      <c r="F36" s="115" t="s">
        <v>630</v>
      </c>
      <c r="G36" s="114" t="s">
        <v>510</v>
      </c>
      <c r="H36" s="114">
        <f>ROUND(3.672,3)</f>
        <v>3.6720000000000002</v>
      </c>
      <c r="I36" s="114">
        <v>0</v>
      </c>
      <c r="J36" s="114">
        <f>ROUND(H36,3) * I36</f>
        <v>0</v>
      </c>
      <c r="K36" s="116"/>
      <c r="L36" s="117">
        <f>ROUND(ROUND(H36,3) * ROUND(K36,2),2)</f>
        <v>0</v>
      </c>
    </row>
    <row r="37" spans="1:12" ht="45" x14ac:dyDescent="0.2">
      <c r="A37" s="124" t="s">
        <v>49</v>
      </c>
      <c r="B37" s="125"/>
      <c r="F37" s="119" t="s">
        <v>631</v>
      </c>
      <c r="L37" s="127"/>
    </row>
    <row r="38" spans="1:12" x14ac:dyDescent="0.2">
      <c r="A38" s="107" t="s">
        <v>51</v>
      </c>
      <c r="B38" s="125"/>
      <c r="F38" s="122" t="s">
        <v>632</v>
      </c>
      <c r="L38" s="127"/>
    </row>
    <row r="39" spans="1:12" ht="23.25" thickBot="1" x14ac:dyDescent="0.25">
      <c r="A39" s="124" t="s">
        <v>53</v>
      </c>
      <c r="B39" s="125"/>
      <c r="F39" s="123" t="s">
        <v>633</v>
      </c>
      <c r="L39" s="127"/>
    </row>
    <row r="40" spans="1:12" ht="13.5" customHeight="1" thickBot="1" x14ac:dyDescent="0.25">
      <c r="B40" s="128" t="s">
        <v>58</v>
      </c>
      <c r="C40" s="129" t="s">
        <v>59</v>
      </c>
      <c r="D40" s="130"/>
      <c r="E40" s="130"/>
      <c r="F40" s="130" t="s">
        <v>442</v>
      </c>
      <c r="G40" s="130"/>
      <c r="H40" s="130"/>
      <c r="I40" s="130"/>
      <c r="J40" s="130"/>
      <c r="K40" s="130"/>
      <c r="L40" s="131">
        <f>SUM(L36:L39)</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86" priority="1">
      <formula>$E$5="Ostatní"</formula>
    </cfRule>
    <cfRule type="expression" dxfId="185"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1DEB4345-B4B6-4891-83B1-2AF770370ECA}"/>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779B2E95-CD75-40F0-9CF4-DBAC2D81F70D}">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E77C92ED-A590-47B6-AEF2-30E5ACDCC52B}">
      <formula1>42370</formula1>
      <formula2>55153</formula2>
    </dataValidation>
    <dataValidation allowBlank="1" showInputMessage="1" showErrorMessage="1" promptTitle="S-kód" prompt="Číslo pod kterým je stavba evidovaná v systému SŽDC." sqref="K6" xr:uid="{847DC54B-8B22-4529-BBB3-6296CB6DF7FA}"/>
    <dataValidation type="date" allowBlank="1" showInputMessage="1" showErrorMessage="1" errorTitle="Špatný datum" error="Datum musí být v rozmezí_x000a_od 1.1.2016_x000a_do 31.12.2050" promptTitle="Vložit datum" prompt="ve formátu: dd.mm.rrrr" sqref="K8" xr:uid="{C3EA7AD7-DE96-4A0B-AA3B-802DD08D7904}">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B1DD9F89-86C4-49E5-807D-37850A57A5DF}">
      <formula1>"801,802,803,811,812, 813, 814,815, 817, 821,822, 823,824,825,826,827,828,831,832,833,838,839"</formula1>
    </dataValidation>
    <dataValidation type="list" allowBlank="1" showInputMessage="1" showErrorMessage="1" promptTitle="Výběr stádia dle seznamu:" prompt="Stádium 3_x000a_Stádium 2" sqref="E5" xr:uid="{F6614424-0B18-4A30-8282-4E2E17250C19}">
      <formula1>"Stádium 2,Stádium 3"</formula1>
    </dataValidation>
    <dataValidation type="date" allowBlank="1" showInputMessage="1" showErrorMessage="1" sqref="L8" xr:uid="{4BD03022-2513-4CC2-BC9E-58453D5E4023}">
      <formula1>42370</formula1>
      <formula2>55153</formula2>
    </dataValidation>
    <dataValidation type="list" allowBlank="1" showInputMessage="1" showErrorMessage="1" sqref="E6" xr:uid="{CDEA99FF-3F5D-4403-96AD-D12F048B2751}">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27BBF-F88E-47EA-ABC0-3F6D8EE72F52}">
  <sheetPr codeName="List12">
    <pageSetUpPr fitToPage="1"/>
  </sheetPr>
  <dimension ref="A1:O88"/>
  <sheetViews>
    <sheetView showGridLines="0" topLeftCell="B1" zoomScale="85" zoomScaleNormal="85" zoomScaleSheetLayoutView="85" workbookViewId="0">
      <pane ySplit="12" topLeftCell="A70" activePane="bottomLeft" state="frozen"/>
      <selection activeCell="B1" sqref="B1"/>
      <selection pane="bottomLeft" activeCell="K14" sqref="K14:K88"/>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634</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634</v>
      </c>
      <c r="E3" s="79"/>
      <c r="F3" s="80" t="s">
        <v>635</v>
      </c>
      <c r="G3" s="81"/>
      <c r="H3" s="82"/>
      <c r="I3" s="83"/>
      <c r="J3" s="84"/>
      <c r="K3" s="248"/>
      <c r="L3" s="249"/>
    </row>
    <row r="4" spans="1:15" s="67" customFormat="1" ht="18" customHeight="1" thickTop="1" x14ac:dyDescent="0.25">
      <c r="B4" s="256" t="s">
        <v>8</v>
      </c>
      <c r="C4" s="245"/>
      <c r="D4" s="253"/>
      <c r="E4" s="85" t="s">
        <v>636</v>
      </c>
      <c r="F4" s="86" t="str">
        <f>INDEX('[12]Kategorie monitoringu'!A1:B34,MATCH(E4,'[12]Kategorie monitoringu'!A1:A34,0),2)</f>
        <v xml:space="preserve"> Pozemní komunikace</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60</v>
      </c>
      <c r="D13" s="110"/>
      <c r="E13" s="110"/>
      <c r="F13" s="111" t="s">
        <v>61</v>
      </c>
      <c r="G13" s="110"/>
      <c r="H13" s="110"/>
      <c r="I13" s="110"/>
      <c r="J13" s="110"/>
      <c r="K13" s="110"/>
      <c r="L13" s="112"/>
    </row>
    <row r="14" spans="1:15" s="107" customFormat="1" ht="11.25" customHeight="1" thickBot="1" x14ac:dyDescent="0.3">
      <c r="A14" s="107" t="s">
        <v>44</v>
      </c>
      <c r="B14" s="113">
        <v>1</v>
      </c>
      <c r="C14" s="114" t="s">
        <v>637</v>
      </c>
      <c r="D14" s="115" t="s">
        <v>60</v>
      </c>
      <c r="E14" s="115" t="s">
        <v>46</v>
      </c>
      <c r="F14" s="115" t="s">
        <v>638</v>
      </c>
      <c r="G14" s="114" t="s">
        <v>64</v>
      </c>
      <c r="H14" s="114">
        <f>ROUND(115.661,3)</f>
        <v>115.661</v>
      </c>
      <c r="I14" s="114">
        <v>0</v>
      </c>
      <c r="J14" s="114">
        <f>ROUND(H14,3) * I14</f>
        <v>0</v>
      </c>
      <c r="K14" s="116"/>
      <c r="L14" s="117">
        <f>ROUND(ROUND(H14,3) * ROUND(K14,2),2)</f>
        <v>0</v>
      </c>
    </row>
    <row r="15" spans="1:15" s="107" customFormat="1" x14ac:dyDescent="0.25">
      <c r="A15" s="107" t="s">
        <v>49</v>
      </c>
      <c r="B15" s="118"/>
      <c r="F15" s="119" t="s">
        <v>17</v>
      </c>
      <c r="G15" s="120"/>
      <c r="H15" s="120"/>
      <c r="I15" s="120"/>
      <c r="J15" s="120"/>
      <c r="K15" s="120"/>
      <c r="L15" s="121"/>
    </row>
    <row r="16" spans="1:15" s="107" customFormat="1" ht="33.75" x14ac:dyDescent="0.25">
      <c r="A16" s="107" t="s">
        <v>51</v>
      </c>
      <c r="B16" s="118"/>
      <c r="F16" s="122" t="s">
        <v>639</v>
      </c>
      <c r="G16" s="120"/>
      <c r="H16" s="120"/>
      <c r="I16" s="120"/>
      <c r="J16" s="120"/>
      <c r="K16" s="120"/>
      <c r="L16" s="121"/>
    </row>
    <row r="17" spans="1:12" s="107" customFormat="1" ht="45.75" thickBot="1" x14ac:dyDescent="0.3">
      <c r="A17" s="107" t="s">
        <v>53</v>
      </c>
      <c r="B17" s="118"/>
      <c r="F17" s="123" t="s">
        <v>621</v>
      </c>
      <c r="G17" s="120"/>
      <c r="H17" s="120"/>
      <c r="I17" s="120"/>
      <c r="J17" s="120"/>
      <c r="K17" s="120"/>
      <c r="L17" s="121"/>
    </row>
    <row r="18" spans="1:12" ht="11.25" customHeight="1" thickBot="1" x14ac:dyDescent="0.25">
      <c r="A18" s="124" t="s">
        <v>44</v>
      </c>
      <c r="B18" s="113">
        <v>2</v>
      </c>
      <c r="C18" s="114" t="s">
        <v>640</v>
      </c>
      <c r="D18" s="115" t="s">
        <v>60</v>
      </c>
      <c r="E18" s="115" t="s">
        <v>46</v>
      </c>
      <c r="F18" s="115" t="s">
        <v>641</v>
      </c>
      <c r="G18" s="114" t="s">
        <v>504</v>
      </c>
      <c r="H18" s="114">
        <f>ROUND(2081.898,3)</f>
        <v>2081.8980000000001</v>
      </c>
      <c r="I18" s="114">
        <v>0</v>
      </c>
      <c r="J18" s="114">
        <f>ROUND(H18,3) * I18</f>
        <v>0</v>
      </c>
      <c r="K18" s="116"/>
      <c r="L18" s="117">
        <f>ROUND(ROUND(H18,3) * ROUND(K18,2),2)</f>
        <v>0</v>
      </c>
    </row>
    <row r="19" spans="1:12" x14ac:dyDescent="0.2">
      <c r="A19" s="124" t="s">
        <v>49</v>
      </c>
      <c r="B19" s="125"/>
      <c r="F19" s="119" t="s">
        <v>17</v>
      </c>
      <c r="L19" s="127"/>
    </row>
    <row r="20" spans="1:12" x14ac:dyDescent="0.2">
      <c r="A20" s="107" t="s">
        <v>51</v>
      </c>
      <c r="B20" s="125"/>
      <c r="F20" s="122" t="s">
        <v>642</v>
      </c>
      <c r="L20" s="127"/>
    </row>
    <row r="21" spans="1:12" ht="23.25" thickBot="1" x14ac:dyDescent="0.25">
      <c r="A21" s="124" t="s">
        <v>53</v>
      </c>
      <c r="B21" s="125"/>
      <c r="F21" s="123" t="s">
        <v>643</v>
      </c>
      <c r="L21" s="127"/>
    </row>
    <row r="22" spans="1:12" ht="11.25" customHeight="1" thickBot="1" x14ac:dyDescent="0.25">
      <c r="A22" s="124" t="s">
        <v>44</v>
      </c>
      <c r="B22" s="113">
        <v>3</v>
      </c>
      <c r="C22" s="114" t="s">
        <v>644</v>
      </c>
      <c r="D22" s="115" t="s">
        <v>60</v>
      </c>
      <c r="E22" s="115" t="s">
        <v>46</v>
      </c>
      <c r="F22" s="115" t="s">
        <v>645</v>
      </c>
      <c r="G22" s="114" t="s">
        <v>64</v>
      </c>
      <c r="H22" s="114">
        <f>ROUND(24.117,3)</f>
        <v>24.117000000000001</v>
      </c>
      <c r="I22" s="114">
        <v>0</v>
      </c>
      <c r="J22" s="114">
        <f>ROUND(H22,3) * I22</f>
        <v>0</v>
      </c>
      <c r="K22" s="116"/>
      <c r="L22" s="117">
        <f>ROUND(ROUND(H22,3) * ROUND(K22,2),2)</f>
        <v>0</v>
      </c>
    </row>
    <row r="23" spans="1:12" x14ac:dyDescent="0.2">
      <c r="A23" s="124" t="s">
        <v>49</v>
      </c>
      <c r="B23" s="125"/>
      <c r="F23" s="119" t="s">
        <v>17</v>
      </c>
      <c r="L23" s="127"/>
    </row>
    <row r="24" spans="1:12" ht="33.75" x14ac:dyDescent="0.2">
      <c r="A24" s="107" t="s">
        <v>51</v>
      </c>
      <c r="B24" s="125"/>
      <c r="F24" s="122" t="s">
        <v>646</v>
      </c>
      <c r="L24" s="127"/>
    </row>
    <row r="25" spans="1:12" ht="45.75" thickBot="1" x14ac:dyDescent="0.25">
      <c r="A25" s="124" t="s">
        <v>53</v>
      </c>
      <c r="B25" s="125"/>
      <c r="F25" s="123" t="s">
        <v>621</v>
      </c>
      <c r="L25" s="127"/>
    </row>
    <row r="26" spans="1:12" ht="13.5" customHeight="1" thickBot="1" x14ac:dyDescent="0.25">
      <c r="B26" s="128" t="s">
        <v>58</v>
      </c>
      <c r="C26" s="129" t="s">
        <v>59</v>
      </c>
      <c r="D26" s="130"/>
      <c r="E26" s="130"/>
      <c r="F26" s="130" t="s">
        <v>61</v>
      </c>
      <c r="G26" s="130"/>
      <c r="H26" s="130"/>
      <c r="I26" s="130"/>
      <c r="J26" s="130"/>
      <c r="K26" s="130"/>
      <c r="L26" s="131">
        <f>SUM(L14:L25)</f>
        <v>0</v>
      </c>
    </row>
    <row r="27" spans="1:12" ht="20.100000000000001" customHeight="1" thickBot="1" x14ac:dyDescent="0.25">
      <c r="A27" s="124" t="s">
        <v>40</v>
      </c>
      <c r="B27" s="132" t="s">
        <v>41</v>
      </c>
      <c r="C27" s="109" t="s">
        <v>647</v>
      </c>
      <c r="D27" s="110"/>
      <c r="E27" s="110"/>
      <c r="F27" s="111" t="s">
        <v>648</v>
      </c>
      <c r="G27" s="110"/>
      <c r="H27" s="110"/>
      <c r="I27" s="110"/>
      <c r="J27" s="110"/>
      <c r="K27" s="110"/>
      <c r="L27" s="112"/>
    </row>
    <row r="28" spans="1:12" ht="11.25" customHeight="1" thickBot="1" x14ac:dyDescent="0.25">
      <c r="A28" s="124" t="s">
        <v>44</v>
      </c>
      <c r="B28" s="113">
        <v>4</v>
      </c>
      <c r="C28" s="114" t="s">
        <v>649</v>
      </c>
      <c r="D28" s="115" t="s">
        <v>60</v>
      </c>
      <c r="E28" s="115" t="s">
        <v>46</v>
      </c>
      <c r="F28" s="115" t="s">
        <v>650</v>
      </c>
      <c r="G28" s="114" t="s">
        <v>64</v>
      </c>
      <c r="H28" s="114">
        <f>ROUND(1.35,3)</f>
        <v>1.35</v>
      </c>
      <c r="I28" s="114">
        <v>0</v>
      </c>
      <c r="J28" s="114">
        <f>ROUND(H28,3) * I28</f>
        <v>0</v>
      </c>
      <c r="K28" s="116"/>
      <c r="L28" s="117">
        <f>ROUND(ROUND(H28,3) * ROUND(K28,2),2)</f>
        <v>0</v>
      </c>
    </row>
    <row r="29" spans="1:12" x14ac:dyDescent="0.2">
      <c r="A29" s="124" t="s">
        <v>49</v>
      </c>
      <c r="B29" s="125"/>
      <c r="F29" s="119" t="s">
        <v>17</v>
      </c>
      <c r="L29" s="127"/>
    </row>
    <row r="30" spans="1:12" ht="22.5" x14ac:dyDescent="0.2">
      <c r="A30" s="107" t="s">
        <v>51</v>
      </c>
      <c r="B30" s="125"/>
      <c r="F30" s="122" t="s">
        <v>651</v>
      </c>
      <c r="L30" s="127"/>
    </row>
    <row r="31" spans="1:12" ht="282" thickBot="1" x14ac:dyDescent="0.25">
      <c r="A31" s="124" t="s">
        <v>53</v>
      </c>
      <c r="B31" s="125"/>
      <c r="F31" s="123" t="s">
        <v>652</v>
      </c>
      <c r="L31" s="127"/>
    </row>
    <row r="32" spans="1:12" ht="13.5" customHeight="1" thickBot="1" x14ac:dyDescent="0.25">
      <c r="B32" s="128" t="s">
        <v>58</v>
      </c>
      <c r="C32" s="129" t="s">
        <v>59</v>
      </c>
      <c r="D32" s="130"/>
      <c r="E32" s="130"/>
      <c r="F32" s="130" t="s">
        <v>648</v>
      </c>
      <c r="G32" s="130"/>
      <c r="H32" s="130"/>
      <c r="I32" s="130"/>
      <c r="J32" s="130"/>
      <c r="K32" s="130"/>
      <c r="L32" s="131">
        <f>SUM(L28:L31)</f>
        <v>0</v>
      </c>
    </row>
    <row r="33" spans="1:12" ht="20.100000000000001" customHeight="1" thickBot="1" x14ac:dyDescent="0.25">
      <c r="A33" s="124" t="s">
        <v>40</v>
      </c>
      <c r="B33" s="132" t="s">
        <v>41</v>
      </c>
      <c r="C33" s="109" t="s">
        <v>425</v>
      </c>
      <c r="D33" s="110"/>
      <c r="E33" s="110"/>
      <c r="F33" s="111" t="s">
        <v>426</v>
      </c>
      <c r="G33" s="110"/>
      <c r="H33" s="110"/>
      <c r="I33" s="110"/>
      <c r="J33" s="110"/>
      <c r="K33" s="110"/>
      <c r="L33" s="112"/>
    </row>
    <row r="34" spans="1:12" ht="11.25" customHeight="1" thickBot="1" x14ac:dyDescent="0.25">
      <c r="A34" s="124" t="s">
        <v>44</v>
      </c>
      <c r="B34" s="113">
        <v>5</v>
      </c>
      <c r="C34" s="114" t="s">
        <v>653</v>
      </c>
      <c r="D34" s="115" t="s">
        <v>60</v>
      </c>
      <c r="E34" s="115" t="s">
        <v>46</v>
      </c>
      <c r="F34" s="115" t="s">
        <v>654</v>
      </c>
      <c r="G34" s="114" t="s">
        <v>81</v>
      </c>
      <c r="H34" s="114">
        <f>ROUND(373.1,3)</f>
        <v>373.1</v>
      </c>
      <c r="I34" s="114">
        <v>0</v>
      </c>
      <c r="J34" s="114">
        <f>ROUND(H34,3) * I34</f>
        <v>0</v>
      </c>
      <c r="K34" s="116"/>
      <c r="L34" s="117">
        <f>ROUND(ROUND(H34,3) * ROUND(K34,2),2)</f>
        <v>0</v>
      </c>
    </row>
    <row r="35" spans="1:12" x14ac:dyDescent="0.2">
      <c r="A35" s="124" t="s">
        <v>49</v>
      </c>
      <c r="B35" s="125"/>
      <c r="F35" s="119" t="s">
        <v>17</v>
      </c>
      <c r="L35" s="127"/>
    </row>
    <row r="36" spans="1:12" x14ac:dyDescent="0.2">
      <c r="A36" s="107" t="s">
        <v>51</v>
      </c>
      <c r="B36" s="125"/>
      <c r="F36" s="122" t="s">
        <v>655</v>
      </c>
      <c r="L36" s="127"/>
    </row>
    <row r="37" spans="1:12" ht="45.75" thickBot="1" x14ac:dyDescent="0.25">
      <c r="A37" s="124" t="s">
        <v>53</v>
      </c>
      <c r="B37" s="125"/>
      <c r="F37" s="123" t="s">
        <v>656</v>
      </c>
      <c r="L37" s="127"/>
    </row>
    <row r="38" spans="1:12" ht="11.25" customHeight="1" thickBot="1" x14ac:dyDescent="0.25">
      <c r="A38" s="124" t="s">
        <v>44</v>
      </c>
      <c r="B38" s="113">
        <v>6</v>
      </c>
      <c r="C38" s="114" t="s">
        <v>657</v>
      </c>
      <c r="D38" s="115" t="s">
        <v>60</v>
      </c>
      <c r="E38" s="115" t="s">
        <v>46</v>
      </c>
      <c r="F38" s="115" t="s">
        <v>658</v>
      </c>
      <c r="G38" s="114" t="s">
        <v>64</v>
      </c>
      <c r="H38" s="114">
        <f>ROUND(15.024,3)</f>
        <v>15.023999999999999</v>
      </c>
      <c r="I38" s="114">
        <v>0</v>
      </c>
      <c r="J38" s="114">
        <f>ROUND(H38,3) * I38</f>
        <v>0</v>
      </c>
      <c r="K38" s="116"/>
      <c r="L38" s="117">
        <f>ROUND(ROUND(H38,3) * ROUND(K38,2),2)</f>
        <v>0</v>
      </c>
    </row>
    <row r="39" spans="1:12" x14ac:dyDescent="0.2">
      <c r="A39" s="124" t="s">
        <v>49</v>
      </c>
      <c r="B39" s="125"/>
      <c r="F39" s="119" t="s">
        <v>17</v>
      </c>
      <c r="L39" s="127"/>
    </row>
    <row r="40" spans="1:12" x14ac:dyDescent="0.2">
      <c r="A40" s="107" t="s">
        <v>51</v>
      </c>
      <c r="B40" s="125"/>
      <c r="F40" s="122" t="s">
        <v>659</v>
      </c>
      <c r="L40" s="127"/>
    </row>
    <row r="41" spans="1:12" ht="79.5" thickBot="1" x14ac:dyDescent="0.25">
      <c r="A41" s="124" t="s">
        <v>53</v>
      </c>
      <c r="B41" s="125"/>
      <c r="F41" s="123" t="s">
        <v>660</v>
      </c>
      <c r="L41" s="127"/>
    </row>
    <row r="42" spans="1:12" ht="11.25" customHeight="1" thickBot="1" x14ac:dyDescent="0.25">
      <c r="A42" s="124" t="s">
        <v>44</v>
      </c>
      <c r="B42" s="113">
        <v>7</v>
      </c>
      <c r="C42" s="114" t="s">
        <v>661</v>
      </c>
      <c r="D42" s="115" t="s">
        <v>60</v>
      </c>
      <c r="E42" s="115" t="s">
        <v>46</v>
      </c>
      <c r="F42" s="115" t="s">
        <v>662</v>
      </c>
      <c r="G42" s="114" t="s">
        <v>64</v>
      </c>
      <c r="H42" s="114">
        <f>ROUND(15.3,3)</f>
        <v>15.3</v>
      </c>
      <c r="I42" s="114">
        <v>0</v>
      </c>
      <c r="J42" s="114">
        <f>ROUND(H42,3) * I42</f>
        <v>0</v>
      </c>
      <c r="K42" s="116"/>
      <c r="L42" s="117">
        <f>ROUND(ROUND(H42,3) * ROUND(K42,2),2)</f>
        <v>0</v>
      </c>
    </row>
    <row r="43" spans="1:12" x14ac:dyDescent="0.2">
      <c r="A43" s="124" t="s">
        <v>49</v>
      </c>
      <c r="B43" s="125"/>
      <c r="F43" s="119" t="s">
        <v>663</v>
      </c>
      <c r="L43" s="127"/>
    </row>
    <row r="44" spans="1:12" x14ac:dyDescent="0.2">
      <c r="A44" s="107" t="s">
        <v>51</v>
      </c>
      <c r="B44" s="125"/>
      <c r="F44" s="122" t="s">
        <v>664</v>
      </c>
      <c r="L44" s="127"/>
    </row>
    <row r="45" spans="1:12" ht="79.5" thickBot="1" x14ac:dyDescent="0.25">
      <c r="A45" s="124" t="s">
        <v>53</v>
      </c>
      <c r="B45" s="125"/>
      <c r="F45" s="123" t="s">
        <v>660</v>
      </c>
      <c r="L45" s="127"/>
    </row>
    <row r="46" spans="1:12" ht="11.25" customHeight="1" thickBot="1" x14ac:dyDescent="0.25">
      <c r="A46" s="124" t="s">
        <v>44</v>
      </c>
      <c r="B46" s="113">
        <v>8</v>
      </c>
      <c r="C46" s="114" t="s">
        <v>665</v>
      </c>
      <c r="D46" s="115" t="s">
        <v>60</v>
      </c>
      <c r="E46" s="115" t="s">
        <v>46</v>
      </c>
      <c r="F46" s="115" t="s">
        <v>666</v>
      </c>
      <c r="G46" s="114" t="s">
        <v>81</v>
      </c>
      <c r="H46" s="114">
        <f>ROUND(401.95,3)</f>
        <v>401.95</v>
      </c>
      <c r="I46" s="114">
        <v>0</v>
      </c>
      <c r="J46" s="114">
        <f>ROUND(H46,3) * I46</f>
        <v>0</v>
      </c>
      <c r="K46" s="116"/>
      <c r="L46" s="117">
        <f>ROUND(ROUND(H46,3) * ROUND(K46,2),2)</f>
        <v>0</v>
      </c>
    </row>
    <row r="47" spans="1:12" x14ac:dyDescent="0.2">
      <c r="A47" s="124" t="s">
        <v>49</v>
      </c>
      <c r="B47" s="125"/>
      <c r="F47" s="119" t="s">
        <v>17</v>
      </c>
      <c r="L47" s="127"/>
    </row>
    <row r="48" spans="1:12" x14ac:dyDescent="0.2">
      <c r="A48" s="107" t="s">
        <v>51</v>
      </c>
      <c r="B48" s="125"/>
      <c r="F48" s="122" t="s">
        <v>667</v>
      </c>
      <c r="L48" s="127"/>
    </row>
    <row r="49" spans="1:12" ht="45.75" thickBot="1" x14ac:dyDescent="0.25">
      <c r="A49" s="124" t="s">
        <v>53</v>
      </c>
      <c r="B49" s="125"/>
      <c r="F49" s="123" t="s">
        <v>668</v>
      </c>
      <c r="L49" s="127"/>
    </row>
    <row r="50" spans="1:12" ht="11.25" customHeight="1" thickBot="1" x14ac:dyDescent="0.25">
      <c r="A50" s="124" t="s">
        <v>44</v>
      </c>
      <c r="B50" s="113">
        <v>9</v>
      </c>
      <c r="C50" s="114" t="s">
        <v>669</v>
      </c>
      <c r="D50" s="115" t="s">
        <v>60</v>
      </c>
      <c r="E50" s="115" t="s">
        <v>46</v>
      </c>
      <c r="F50" s="115" t="s">
        <v>670</v>
      </c>
      <c r="G50" s="114" t="s">
        <v>81</v>
      </c>
      <c r="H50" s="114">
        <f>ROUND(401.95,3)</f>
        <v>401.95</v>
      </c>
      <c r="I50" s="114">
        <v>0</v>
      </c>
      <c r="J50" s="114">
        <f>ROUND(H50,3) * I50</f>
        <v>0</v>
      </c>
      <c r="K50" s="116"/>
      <c r="L50" s="117">
        <f>ROUND(ROUND(H50,3) * ROUND(K50,2),2)</f>
        <v>0</v>
      </c>
    </row>
    <row r="51" spans="1:12" x14ac:dyDescent="0.2">
      <c r="A51" s="124" t="s">
        <v>49</v>
      </c>
      <c r="B51" s="125"/>
      <c r="F51" s="119" t="s">
        <v>17</v>
      </c>
      <c r="L51" s="127"/>
    </row>
    <row r="52" spans="1:12" x14ac:dyDescent="0.2">
      <c r="A52" s="107" t="s">
        <v>51</v>
      </c>
      <c r="B52" s="125"/>
      <c r="F52" s="122" t="s">
        <v>671</v>
      </c>
      <c r="L52" s="127"/>
    </row>
    <row r="53" spans="1:12" ht="102" thickBot="1" x14ac:dyDescent="0.25">
      <c r="A53" s="124" t="s">
        <v>53</v>
      </c>
      <c r="B53" s="125"/>
      <c r="F53" s="123" t="s">
        <v>672</v>
      </c>
      <c r="L53" s="127"/>
    </row>
    <row r="54" spans="1:12" ht="11.25" customHeight="1" thickBot="1" x14ac:dyDescent="0.25">
      <c r="A54" s="124" t="s">
        <v>44</v>
      </c>
      <c r="B54" s="113">
        <v>10</v>
      </c>
      <c r="C54" s="114" t="s">
        <v>673</v>
      </c>
      <c r="D54" s="115" t="s">
        <v>60</v>
      </c>
      <c r="E54" s="115" t="s">
        <v>46</v>
      </c>
      <c r="F54" s="115" t="s">
        <v>674</v>
      </c>
      <c r="G54" s="114" t="s">
        <v>69</v>
      </c>
      <c r="H54" s="114">
        <f>ROUND(41.2,3)</f>
        <v>41.2</v>
      </c>
      <c r="I54" s="114">
        <v>0</v>
      </c>
      <c r="J54" s="114">
        <f>ROUND(H54,3) * I54</f>
        <v>0</v>
      </c>
      <c r="K54" s="116"/>
      <c r="L54" s="117">
        <f>ROUND(ROUND(H54,3) * ROUND(K54,2),2)</f>
        <v>0</v>
      </c>
    </row>
    <row r="55" spans="1:12" x14ac:dyDescent="0.2">
      <c r="A55" s="124" t="s">
        <v>49</v>
      </c>
      <c r="B55" s="125"/>
      <c r="F55" s="119" t="s">
        <v>17</v>
      </c>
      <c r="L55" s="127"/>
    </row>
    <row r="56" spans="1:12" ht="22.5" x14ac:dyDescent="0.2">
      <c r="A56" s="107" t="s">
        <v>51</v>
      </c>
      <c r="B56" s="125"/>
      <c r="F56" s="122" t="s">
        <v>675</v>
      </c>
      <c r="L56" s="127"/>
    </row>
    <row r="57" spans="1:12" ht="45.75" thickBot="1" x14ac:dyDescent="0.25">
      <c r="A57" s="124" t="s">
        <v>53</v>
      </c>
      <c r="B57" s="125"/>
      <c r="F57" s="123" t="s">
        <v>676</v>
      </c>
      <c r="L57" s="127"/>
    </row>
    <row r="58" spans="1:12" ht="13.5" customHeight="1" thickBot="1" x14ac:dyDescent="0.25">
      <c r="B58" s="128" t="s">
        <v>58</v>
      </c>
      <c r="C58" s="129" t="s">
        <v>59</v>
      </c>
      <c r="D58" s="130"/>
      <c r="E58" s="130"/>
      <c r="F58" s="130" t="s">
        <v>426</v>
      </c>
      <c r="G58" s="130"/>
      <c r="H58" s="130"/>
      <c r="I58" s="130"/>
      <c r="J58" s="130"/>
      <c r="K58" s="130"/>
      <c r="L58" s="131">
        <f>SUM(L34:L57)</f>
        <v>0</v>
      </c>
    </row>
    <row r="59" spans="1:12" ht="20.100000000000001" customHeight="1" thickBot="1" x14ac:dyDescent="0.25">
      <c r="A59" s="124" t="s">
        <v>40</v>
      </c>
      <c r="B59" s="132" t="s">
        <v>41</v>
      </c>
      <c r="C59" s="109" t="s">
        <v>580</v>
      </c>
      <c r="D59" s="110"/>
      <c r="E59" s="110"/>
      <c r="F59" s="111" t="s">
        <v>581</v>
      </c>
      <c r="G59" s="110"/>
      <c r="H59" s="110"/>
      <c r="I59" s="110"/>
      <c r="J59" s="110"/>
      <c r="K59" s="110"/>
      <c r="L59" s="112"/>
    </row>
    <row r="60" spans="1:12" ht="11.25" customHeight="1" thickBot="1" x14ac:dyDescent="0.25">
      <c r="A60" s="124" t="s">
        <v>44</v>
      </c>
      <c r="B60" s="113">
        <v>11</v>
      </c>
      <c r="C60" s="114" t="s">
        <v>677</v>
      </c>
      <c r="D60" s="115" t="s">
        <v>60</v>
      </c>
      <c r="E60" s="115" t="s">
        <v>46</v>
      </c>
      <c r="F60" s="115" t="s">
        <v>678</v>
      </c>
      <c r="G60" s="114" t="s">
        <v>91</v>
      </c>
      <c r="H60" s="114">
        <f>ROUND(4,3)</f>
        <v>4</v>
      </c>
      <c r="I60" s="114">
        <v>0</v>
      </c>
      <c r="J60" s="114">
        <f>ROUND(H60,3) * I60</f>
        <v>0</v>
      </c>
      <c r="K60" s="116"/>
      <c r="L60" s="117">
        <f>ROUND(ROUND(H60,3) * ROUND(K60,2),2)</f>
        <v>0</v>
      </c>
    </row>
    <row r="61" spans="1:12" x14ac:dyDescent="0.2">
      <c r="A61" s="124" t="s">
        <v>49</v>
      </c>
      <c r="B61" s="125"/>
      <c r="F61" s="119" t="s">
        <v>679</v>
      </c>
      <c r="L61" s="127"/>
    </row>
    <row r="62" spans="1:12" x14ac:dyDescent="0.2">
      <c r="A62" s="107" t="s">
        <v>51</v>
      </c>
      <c r="B62" s="125"/>
      <c r="F62" s="122" t="s">
        <v>471</v>
      </c>
      <c r="L62" s="127"/>
    </row>
    <row r="63" spans="1:12" ht="23.25" thickBot="1" x14ac:dyDescent="0.25">
      <c r="A63" s="124" t="s">
        <v>53</v>
      </c>
      <c r="B63" s="125"/>
      <c r="F63" s="123" t="s">
        <v>680</v>
      </c>
      <c r="L63" s="127"/>
    </row>
    <row r="64" spans="1:12" ht="13.5" customHeight="1" thickBot="1" x14ac:dyDescent="0.25">
      <c r="B64" s="128" t="s">
        <v>58</v>
      </c>
      <c r="C64" s="129" t="s">
        <v>59</v>
      </c>
      <c r="D64" s="130"/>
      <c r="E64" s="130"/>
      <c r="F64" s="130" t="s">
        <v>581</v>
      </c>
      <c r="G64" s="130"/>
      <c r="H64" s="130"/>
      <c r="I64" s="130"/>
      <c r="J64" s="130"/>
      <c r="K64" s="130"/>
      <c r="L64" s="131">
        <f>SUM(L60:L63)</f>
        <v>0</v>
      </c>
    </row>
    <row r="65" spans="1:12" ht="20.100000000000001" customHeight="1" thickBot="1" x14ac:dyDescent="0.25">
      <c r="A65" s="124" t="s">
        <v>40</v>
      </c>
      <c r="B65" s="132" t="s">
        <v>41</v>
      </c>
      <c r="C65" s="109" t="s">
        <v>382</v>
      </c>
      <c r="D65" s="110"/>
      <c r="E65" s="110"/>
      <c r="F65" s="111" t="s">
        <v>435</v>
      </c>
      <c r="G65" s="110"/>
      <c r="H65" s="110"/>
      <c r="I65" s="110"/>
      <c r="J65" s="110"/>
      <c r="K65" s="110"/>
      <c r="L65" s="112"/>
    </row>
    <row r="66" spans="1:12" ht="11.25" customHeight="1" thickBot="1" x14ac:dyDescent="0.25">
      <c r="A66" s="124" t="s">
        <v>44</v>
      </c>
      <c r="B66" s="113">
        <v>12</v>
      </c>
      <c r="C66" s="114" t="s">
        <v>681</v>
      </c>
      <c r="D66" s="115" t="s">
        <v>60</v>
      </c>
      <c r="E66" s="115" t="s">
        <v>46</v>
      </c>
      <c r="F66" s="115" t="s">
        <v>682</v>
      </c>
      <c r="G66" s="114" t="s">
        <v>69</v>
      </c>
      <c r="H66" s="114">
        <f>ROUND(40.54,3)</f>
        <v>40.54</v>
      </c>
      <c r="I66" s="114">
        <v>0</v>
      </c>
      <c r="J66" s="114">
        <f>ROUND(H66,3) * I66</f>
        <v>0</v>
      </c>
      <c r="K66" s="116"/>
      <c r="L66" s="117">
        <f>ROUND(ROUND(H66,3) * ROUND(K66,2),2)</f>
        <v>0</v>
      </c>
    </row>
    <row r="67" spans="1:12" ht="22.5" x14ac:dyDescent="0.2">
      <c r="A67" s="124" t="s">
        <v>49</v>
      </c>
      <c r="B67" s="125"/>
      <c r="F67" s="119" t="s">
        <v>683</v>
      </c>
      <c r="L67" s="127"/>
    </row>
    <row r="68" spans="1:12" x14ac:dyDescent="0.2">
      <c r="A68" s="107" t="s">
        <v>51</v>
      </c>
      <c r="B68" s="125"/>
      <c r="F68" s="122" t="s">
        <v>684</v>
      </c>
      <c r="L68" s="127"/>
    </row>
    <row r="69" spans="1:12" ht="102" thickBot="1" x14ac:dyDescent="0.25">
      <c r="A69" s="124" t="s">
        <v>53</v>
      </c>
      <c r="B69" s="125"/>
      <c r="F69" s="123" t="s">
        <v>685</v>
      </c>
      <c r="L69" s="127"/>
    </row>
    <row r="70" spans="1:12" ht="11.25" customHeight="1" thickBot="1" x14ac:dyDescent="0.25">
      <c r="A70" s="124" t="s">
        <v>44</v>
      </c>
      <c r="B70" s="113">
        <v>13</v>
      </c>
      <c r="C70" s="114" t="s">
        <v>686</v>
      </c>
      <c r="D70" s="115" t="s">
        <v>60</v>
      </c>
      <c r="E70" s="115" t="s">
        <v>46</v>
      </c>
      <c r="F70" s="115" t="s">
        <v>687</v>
      </c>
      <c r="G70" s="114" t="s">
        <v>91</v>
      </c>
      <c r="H70" s="114">
        <f>ROUND(2,3)</f>
        <v>2</v>
      </c>
      <c r="I70" s="114">
        <v>0</v>
      </c>
      <c r="J70" s="114">
        <f>ROUND(H70,3) * I70</f>
        <v>0</v>
      </c>
      <c r="K70" s="116"/>
      <c r="L70" s="117">
        <f>ROUND(ROUND(H70,3) * ROUND(K70,2),2)</f>
        <v>0</v>
      </c>
    </row>
    <row r="71" spans="1:12" x14ac:dyDescent="0.2">
      <c r="A71" s="124" t="s">
        <v>49</v>
      </c>
      <c r="B71" s="125"/>
      <c r="F71" s="119" t="s">
        <v>17</v>
      </c>
      <c r="L71" s="127"/>
    </row>
    <row r="72" spans="1:12" x14ac:dyDescent="0.2">
      <c r="A72" s="107" t="s">
        <v>51</v>
      </c>
      <c r="B72" s="125"/>
      <c r="F72" s="122" t="s">
        <v>596</v>
      </c>
      <c r="L72" s="127"/>
    </row>
    <row r="73" spans="1:12" ht="12" thickBot="1" x14ac:dyDescent="0.25">
      <c r="A73" s="124" t="s">
        <v>53</v>
      </c>
      <c r="B73" s="125"/>
      <c r="F73" s="123" t="s">
        <v>688</v>
      </c>
      <c r="L73" s="127"/>
    </row>
    <row r="74" spans="1:12" ht="11.25" customHeight="1" thickBot="1" x14ac:dyDescent="0.25">
      <c r="A74" s="124" t="s">
        <v>44</v>
      </c>
      <c r="B74" s="113">
        <v>14</v>
      </c>
      <c r="C74" s="114" t="s">
        <v>689</v>
      </c>
      <c r="D74" s="115" t="s">
        <v>60</v>
      </c>
      <c r="E74" s="115" t="s">
        <v>46</v>
      </c>
      <c r="F74" s="115" t="s">
        <v>690</v>
      </c>
      <c r="G74" s="114" t="s">
        <v>69</v>
      </c>
      <c r="H74" s="114">
        <f>ROUND(3.6,3)</f>
        <v>3.6</v>
      </c>
      <c r="I74" s="114">
        <v>0</v>
      </c>
      <c r="J74" s="114">
        <f>ROUND(H74,3) * I74</f>
        <v>0</v>
      </c>
      <c r="K74" s="116"/>
      <c r="L74" s="117">
        <f>ROUND(ROUND(H74,3) * ROUND(K74,2),2)</f>
        <v>0</v>
      </c>
    </row>
    <row r="75" spans="1:12" x14ac:dyDescent="0.2">
      <c r="A75" s="124" t="s">
        <v>49</v>
      </c>
      <c r="B75" s="125"/>
      <c r="F75" s="119" t="s">
        <v>17</v>
      </c>
      <c r="L75" s="127"/>
    </row>
    <row r="76" spans="1:12" x14ac:dyDescent="0.2">
      <c r="A76" s="107" t="s">
        <v>51</v>
      </c>
      <c r="B76" s="125"/>
      <c r="F76" s="122" t="s">
        <v>691</v>
      </c>
      <c r="L76" s="127"/>
    </row>
    <row r="77" spans="1:12" ht="12" thickBot="1" x14ac:dyDescent="0.25">
      <c r="A77" s="124" t="s">
        <v>53</v>
      </c>
      <c r="B77" s="125"/>
      <c r="F77" s="123" t="s">
        <v>692</v>
      </c>
      <c r="L77" s="127"/>
    </row>
    <row r="78" spans="1:12" ht="13.5" customHeight="1" thickBot="1" x14ac:dyDescent="0.25">
      <c r="B78" s="128" t="s">
        <v>58</v>
      </c>
      <c r="C78" s="129" t="s">
        <v>59</v>
      </c>
      <c r="D78" s="130"/>
      <c r="E78" s="130"/>
      <c r="F78" s="130" t="s">
        <v>435</v>
      </c>
      <c r="G78" s="130"/>
      <c r="H78" s="130"/>
      <c r="I78" s="130"/>
      <c r="J78" s="130"/>
      <c r="K78" s="130"/>
      <c r="L78" s="131">
        <f>SUM(L66:L77)</f>
        <v>0</v>
      </c>
    </row>
    <row r="79" spans="1:12" ht="20.100000000000001" customHeight="1" thickBot="1" x14ac:dyDescent="0.25">
      <c r="A79" s="124" t="s">
        <v>40</v>
      </c>
      <c r="B79" s="132" t="s">
        <v>41</v>
      </c>
      <c r="C79" s="109" t="s">
        <v>441</v>
      </c>
      <c r="D79" s="110"/>
      <c r="E79" s="110"/>
      <c r="F79" s="111" t="s">
        <v>442</v>
      </c>
      <c r="G79" s="110"/>
      <c r="H79" s="110"/>
      <c r="I79" s="110"/>
      <c r="J79" s="110"/>
      <c r="K79" s="110"/>
      <c r="L79" s="112"/>
    </row>
    <row r="80" spans="1:12" ht="11.25" customHeight="1" thickBot="1" x14ac:dyDescent="0.25">
      <c r="A80" s="124" t="s">
        <v>44</v>
      </c>
      <c r="B80" s="113">
        <v>15</v>
      </c>
      <c r="C80" s="114" t="s">
        <v>629</v>
      </c>
      <c r="D80" s="115" t="s">
        <v>508</v>
      </c>
      <c r="E80" s="115"/>
      <c r="F80" s="115" t="s">
        <v>630</v>
      </c>
      <c r="G80" s="114" t="s">
        <v>510</v>
      </c>
      <c r="H80" s="114">
        <f>ROUND(48.234,3)</f>
        <v>48.234000000000002</v>
      </c>
      <c r="I80" s="114">
        <v>0</v>
      </c>
      <c r="J80" s="114">
        <f>ROUND(H80,3) * I80</f>
        <v>0</v>
      </c>
      <c r="K80" s="116"/>
      <c r="L80" s="117">
        <f>ROUND(ROUND(H80,3) * ROUND(K80,2),2)</f>
        <v>0</v>
      </c>
    </row>
    <row r="81" spans="1:12" ht="45" x14ac:dyDescent="0.2">
      <c r="A81" s="124" t="s">
        <v>49</v>
      </c>
      <c r="B81" s="125"/>
      <c r="F81" s="119" t="s">
        <v>631</v>
      </c>
      <c r="L81" s="127"/>
    </row>
    <row r="82" spans="1:12" x14ac:dyDescent="0.2">
      <c r="A82" s="107" t="s">
        <v>51</v>
      </c>
      <c r="B82" s="125"/>
      <c r="F82" s="122" t="s">
        <v>693</v>
      </c>
      <c r="L82" s="127"/>
    </row>
    <row r="83" spans="1:12" ht="23.25" thickBot="1" x14ac:dyDescent="0.25">
      <c r="A83" s="124" t="s">
        <v>53</v>
      </c>
      <c r="B83" s="125"/>
      <c r="F83" s="123" t="s">
        <v>633</v>
      </c>
      <c r="L83" s="127"/>
    </row>
    <row r="84" spans="1:12" ht="11.25" customHeight="1" thickBot="1" x14ac:dyDescent="0.25">
      <c r="A84" s="124" t="s">
        <v>44</v>
      </c>
      <c r="B84" s="113">
        <v>16</v>
      </c>
      <c r="C84" s="114" t="s">
        <v>585</v>
      </c>
      <c r="D84" s="115" t="s">
        <v>508</v>
      </c>
      <c r="E84" s="115"/>
      <c r="F84" s="115" t="s">
        <v>586</v>
      </c>
      <c r="G84" s="114" t="s">
        <v>510</v>
      </c>
      <c r="H84" s="114">
        <f>ROUND(208.19,3)</f>
        <v>208.19</v>
      </c>
      <c r="I84" s="114">
        <v>0</v>
      </c>
      <c r="J84" s="114">
        <f>ROUND(H84,3) * I84</f>
        <v>0</v>
      </c>
      <c r="K84" s="116"/>
      <c r="L84" s="117">
        <f>ROUND(ROUND(H84,3) * ROUND(K84,2),2)</f>
        <v>0</v>
      </c>
    </row>
    <row r="85" spans="1:12" x14ac:dyDescent="0.2">
      <c r="A85" s="124" t="s">
        <v>49</v>
      </c>
      <c r="B85" s="125"/>
      <c r="F85" s="119" t="s">
        <v>511</v>
      </c>
      <c r="L85" s="127"/>
    </row>
    <row r="86" spans="1:12" x14ac:dyDescent="0.2">
      <c r="A86" s="107" t="s">
        <v>51</v>
      </c>
      <c r="B86" s="125"/>
      <c r="F86" s="122" t="s">
        <v>694</v>
      </c>
      <c r="L86" s="127"/>
    </row>
    <row r="87" spans="1:12" ht="102" thickBot="1" x14ac:dyDescent="0.25">
      <c r="A87" s="124" t="s">
        <v>53</v>
      </c>
      <c r="B87" s="125"/>
      <c r="F87" s="123" t="s">
        <v>513</v>
      </c>
      <c r="L87" s="127"/>
    </row>
    <row r="88" spans="1:12" ht="13.5" customHeight="1" thickBot="1" x14ac:dyDescent="0.25">
      <c r="B88" s="128" t="s">
        <v>58</v>
      </c>
      <c r="C88" s="129" t="s">
        <v>59</v>
      </c>
      <c r="D88" s="130"/>
      <c r="E88" s="130"/>
      <c r="F88" s="130" t="s">
        <v>442</v>
      </c>
      <c r="G88" s="130"/>
      <c r="H88" s="130"/>
      <c r="I88" s="130"/>
      <c r="J88" s="130"/>
      <c r="K88" s="130"/>
      <c r="L88" s="131">
        <f>SUM(L80:L87)</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84" priority="1">
      <formula>$E$5="Ostatní"</formula>
    </cfRule>
    <cfRule type="expression" dxfId="183"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E9DA4268-E164-4826-B7F6-F6B5C3C490C5}"/>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CDC8A558-3D1B-4EA9-BE6B-D8C509B3B164}">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22DE0403-C496-404F-93AA-23BC5F98784D}">
      <formula1>42370</formula1>
      <formula2>55153</formula2>
    </dataValidation>
    <dataValidation allowBlank="1" showInputMessage="1" showErrorMessage="1" promptTitle="S-kód" prompt="Číslo pod kterým je stavba evidovaná v systému SŽDC." sqref="K6" xr:uid="{CA6E57CB-EF05-415F-B249-F81B1F28A596}"/>
    <dataValidation type="date" allowBlank="1" showInputMessage="1" showErrorMessage="1" errorTitle="Špatný datum" error="Datum musí být v rozmezí_x000a_od 1.1.2016_x000a_do 31.12.2050" promptTitle="Vložit datum" prompt="ve formátu: dd.mm.rrrr" sqref="K8" xr:uid="{2356E228-4511-4062-95AD-68BCF7232D44}">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DC6CF9CE-B117-41FE-902D-D6C5CE9C8C0A}">
      <formula1>"801,802,803,811,812, 813, 814,815, 817, 821,822, 823,824,825,826,827,828,831,832,833,838,839"</formula1>
    </dataValidation>
    <dataValidation type="list" allowBlank="1" showInputMessage="1" showErrorMessage="1" promptTitle="Výběr stádia dle seznamu:" prompt="Stádium 3_x000a_Stádium 2" sqref="E5" xr:uid="{8EFB2134-7CA2-47C3-A46A-639ADE4F1325}">
      <formula1>"Stádium 2,Stádium 3"</formula1>
    </dataValidation>
    <dataValidation type="date" allowBlank="1" showInputMessage="1" showErrorMessage="1" sqref="L8" xr:uid="{B3E4099B-A3CE-40E7-8ECE-EFF0C7A93776}">
      <formula1>42370</formula1>
      <formula2>55153</formula2>
    </dataValidation>
    <dataValidation type="list" allowBlank="1" showInputMessage="1" showErrorMessage="1" sqref="E6" xr:uid="{56635CF1-7FE6-4A30-B72A-D600205614EC}">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514BF-1F5C-4EAB-A943-E4BA2A41042D}">
  <sheetPr codeName="List13">
    <pageSetUpPr fitToPage="1"/>
  </sheetPr>
  <dimension ref="A1:O164"/>
  <sheetViews>
    <sheetView showGridLines="0" topLeftCell="B1" zoomScale="85" zoomScaleNormal="85" zoomScaleSheetLayoutView="85" workbookViewId="0">
      <pane ySplit="12" topLeftCell="A150" activePane="bottomLeft" state="frozen"/>
      <selection activeCell="B1" sqref="B1"/>
      <selection pane="bottomLeft" activeCell="K14" sqref="K14:K164"/>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695</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695</v>
      </c>
      <c r="E3" s="79"/>
      <c r="F3" s="80" t="s">
        <v>696</v>
      </c>
      <c r="G3" s="81"/>
      <c r="H3" s="82"/>
      <c r="I3" s="83"/>
      <c r="J3" s="84"/>
      <c r="K3" s="248"/>
      <c r="L3" s="249"/>
    </row>
    <row r="4" spans="1:15" s="67" customFormat="1" ht="18" customHeight="1" thickTop="1" x14ac:dyDescent="0.25">
      <c r="B4" s="256" t="s">
        <v>8</v>
      </c>
      <c r="C4" s="245"/>
      <c r="D4" s="253"/>
      <c r="E4" s="85" t="s">
        <v>636</v>
      </c>
      <c r="F4" s="86" t="str">
        <f>INDEX('[13]Kategorie monitoringu'!A1:B34,MATCH(E4,'[13]Kategorie monitoringu'!A1:A34,0),2)</f>
        <v xml:space="preserve"> Pozemní komunikace</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60</v>
      </c>
      <c r="D13" s="110"/>
      <c r="E13" s="110"/>
      <c r="F13" s="111" t="s">
        <v>61</v>
      </c>
      <c r="G13" s="110"/>
      <c r="H13" s="110"/>
      <c r="I13" s="110"/>
      <c r="J13" s="110"/>
      <c r="K13" s="110"/>
      <c r="L13" s="112"/>
    </row>
    <row r="14" spans="1:15" s="107" customFormat="1" ht="11.25" customHeight="1" thickBot="1" x14ac:dyDescent="0.3">
      <c r="A14" s="107" t="s">
        <v>44</v>
      </c>
      <c r="B14" s="113">
        <v>1</v>
      </c>
      <c r="C14" s="114" t="s">
        <v>697</v>
      </c>
      <c r="D14" s="115" t="s">
        <v>60</v>
      </c>
      <c r="E14" s="115" t="s">
        <v>46</v>
      </c>
      <c r="F14" s="115" t="s">
        <v>698</v>
      </c>
      <c r="G14" s="114" t="s">
        <v>81</v>
      </c>
      <c r="H14" s="114">
        <f>ROUND(9,3)</f>
        <v>9</v>
      </c>
      <c r="I14" s="114">
        <v>0</v>
      </c>
      <c r="J14" s="114">
        <f>ROUND(H14,3) * I14</f>
        <v>0</v>
      </c>
      <c r="K14" s="116"/>
      <c r="L14" s="117">
        <f>ROUND(ROUND(H14,3) * ROUND(K14,2),2)</f>
        <v>0</v>
      </c>
    </row>
    <row r="15" spans="1:15" s="107" customFormat="1" x14ac:dyDescent="0.25">
      <c r="A15" s="107" t="s">
        <v>49</v>
      </c>
      <c r="B15" s="118"/>
      <c r="F15" s="119" t="s">
        <v>699</v>
      </c>
      <c r="G15" s="120"/>
      <c r="H15" s="120"/>
      <c r="I15" s="120"/>
      <c r="J15" s="120"/>
      <c r="K15" s="120"/>
      <c r="L15" s="121"/>
    </row>
    <row r="16" spans="1:15" s="107" customFormat="1" x14ac:dyDescent="0.25">
      <c r="A16" s="107" t="s">
        <v>51</v>
      </c>
      <c r="B16" s="118"/>
      <c r="F16" s="122" t="s">
        <v>700</v>
      </c>
      <c r="G16" s="120"/>
      <c r="H16" s="120"/>
      <c r="I16" s="120"/>
      <c r="J16" s="120"/>
      <c r="K16" s="120"/>
      <c r="L16" s="121"/>
    </row>
    <row r="17" spans="1:12" s="107" customFormat="1" ht="34.5" thickBot="1" x14ac:dyDescent="0.3">
      <c r="A17" s="107" t="s">
        <v>53</v>
      </c>
      <c r="B17" s="118"/>
      <c r="F17" s="123" t="s">
        <v>701</v>
      </c>
      <c r="G17" s="120"/>
      <c r="H17" s="120"/>
      <c r="I17" s="120"/>
      <c r="J17" s="120"/>
      <c r="K17" s="120"/>
      <c r="L17" s="121"/>
    </row>
    <row r="18" spans="1:12" ht="11.25" customHeight="1" thickBot="1" x14ac:dyDescent="0.25">
      <c r="A18" s="124" t="s">
        <v>44</v>
      </c>
      <c r="B18" s="113">
        <v>2</v>
      </c>
      <c r="C18" s="114" t="s">
        <v>702</v>
      </c>
      <c r="D18" s="115" t="s">
        <v>60</v>
      </c>
      <c r="E18" s="115" t="s">
        <v>46</v>
      </c>
      <c r="F18" s="115" t="s">
        <v>703</v>
      </c>
      <c r="G18" s="114" t="s">
        <v>91</v>
      </c>
      <c r="H18" s="114">
        <f>ROUND(3,3)</f>
        <v>3</v>
      </c>
      <c r="I18" s="114">
        <v>0</v>
      </c>
      <c r="J18" s="114">
        <f>ROUND(H18,3) * I18</f>
        <v>0</v>
      </c>
      <c r="K18" s="116"/>
      <c r="L18" s="117">
        <f>ROUND(ROUND(H18,3) * ROUND(K18,2),2)</f>
        <v>0</v>
      </c>
    </row>
    <row r="19" spans="1:12" x14ac:dyDescent="0.2">
      <c r="A19" s="124" t="s">
        <v>49</v>
      </c>
      <c r="B19" s="125"/>
      <c r="F19" s="119" t="s">
        <v>699</v>
      </c>
      <c r="L19" s="127"/>
    </row>
    <row r="20" spans="1:12" x14ac:dyDescent="0.2">
      <c r="A20" s="107" t="s">
        <v>51</v>
      </c>
      <c r="B20" s="125"/>
      <c r="F20" s="122" t="s">
        <v>557</v>
      </c>
      <c r="L20" s="127"/>
    </row>
    <row r="21" spans="1:12" ht="113.25" thickBot="1" x14ac:dyDescent="0.25">
      <c r="A21" s="124" t="s">
        <v>53</v>
      </c>
      <c r="B21" s="125"/>
      <c r="F21" s="123" t="s">
        <v>704</v>
      </c>
      <c r="L21" s="127"/>
    </row>
    <row r="22" spans="1:12" ht="11.25" customHeight="1" thickBot="1" x14ac:dyDescent="0.25">
      <c r="A22" s="124" t="s">
        <v>44</v>
      </c>
      <c r="B22" s="113">
        <v>3</v>
      </c>
      <c r="C22" s="114" t="s">
        <v>705</v>
      </c>
      <c r="D22" s="115" t="s">
        <v>60</v>
      </c>
      <c r="E22" s="115" t="s">
        <v>46</v>
      </c>
      <c r="F22" s="115" t="s">
        <v>706</v>
      </c>
      <c r="G22" s="114" t="s">
        <v>64</v>
      </c>
      <c r="H22" s="114">
        <f>ROUND(25.395,3)</f>
        <v>25.395</v>
      </c>
      <c r="I22" s="114">
        <v>0</v>
      </c>
      <c r="J22" s="114">
        <f>ROUND(H22,3) * I22</f>
        <v>0</v>
      </c>
      <c r="K22" s="116"/>
      <c r="L22" s="117">
        <f>ROUND(ROUND(H22,3) * ROUND(K22,2),2)</f>
        <v>0</v>
      </c>
    </row>
    <row r="23" spans="1:12" x14ac:dyDescent="0.2">
      <c r="A23" s="124" t="s">
        <v>49</v>
      </c>
      <c r="B23" s="125"/>
      <c r="F23" s="119" t="s">
        <v>17</v>
      </c>
      <c r="L23" s="127"/>
    </row>
    <row r="24" spans="1:12" x14ac:dyDescent="0.2">
      <c r="A24" s="107" t="s">
        <v>51</v>
      </c>
      <c r="B24" s="125"/>
      <c r="F24" s="122" t="s">
        <v>707</v>
      </c>
      <c r="L24" s="127"/>
    </row>
    <row r="25" spans="1:12" ht="45.75" thickBot="1" x14ac:dyDescent="0.25">
      <c r="A25" s="124" t="s">
        <v>53</v>
      </c>
      <c r="B25" s="125"/>
      <c r="F25" s="123" t="s">
        <v>708</v>
      </c>
      <c r="L25" s="127"/>
    </row>
    <row r="26" spans="1:12" ht="11.25" customHeight="1" thickBot="1" x14ac:dyDescent="0.25">
      <c r="A26" s="124" t="s">
        <v>44</v>
      </c>
      <c r="B26" s="113">
        <v>4</v>
      </c>
      <c r="C26" s="114" t="s">
        <v>709</v>
      </c>
      <c r="D26" s="115" t="s">
        <v>60</v>
      </c>
      <c r="E26" s="115" t="s">
        <v>46</v>
      </c>
      <c r="F26" s="115" t="s">
        <v>710</v>
      </c>
      <c r="G26" s="114" t="s">
        <v>504</v>
      </c>
      <c r="H26" s="114">
        <f>ROUND(201.9,3)</f>
        <v>201.9</v>
      </c>
      <c r="I26" s="114">
        <v>0</v>
      </c>
      <c r="J26" s="114">
        <f>ROUND(H26,3) * I26</f>
        <v>0</v>
      </c>
      <c r="K26" s="116"/>
      <c r="L26" s="117">
        <f>ROUND(ROUND(H26,3) * ROUND(K26,2),2)</f>
        <v>0</v>
      </c>
    </row>
    <row r="27" spans="1:12" x14ac:dyDescent="0.2">
      <c r="A27" s="124" t="s">
        <v>49</v>
      </c>
      <c r="B27" s="125"/>
      <c r="F27" s="119" t="s">
        <v>17</v>
      </c>
      <c r="L27" s="127"/>
    </row>
    <row r="28" spans="1:12" ht="33.75" x14ac:dyDescent="0.2">
      <c r="A28" s="107" t="s">
        <v>51</v>
      </c>
      <c r="B28" s="125"/>
      <c r="F28" s="122" t="s">
        <v>711</v>
      </c>
      <c r="L28" s="127"/>
    </row>
    <row r="29" spans="1:12" ht="23.25" thickBot="1" x14ac:dyDescent="0.25">
      <c r="A29" s="124" t="s">
        <v>53</v>
      </c>
      <c r="B29" s="125"/>
      <c r="F29" s="123" t="s">
        <v>643</v>
      </c>
      <c r="L29" s="127"/>
    </row>
    <row r="30" spans="1:12" ht="11.25" customHeight="1" thickBot="1" x14ac:dyDescent="0.25">
      <c r="A30" s="124" t="s">
        <v>44</v>
      </c>
      <c r="B30" s="113">
        <v>5</v>
      </c>
      <c r="C30" s="114" t="s">
        <v>712</v>
      </c>
      <c r="D30" s="115" t="s">
        <v>60</v>
      </c>
      <c r="E30" s="115" t="s">
        <v>46</v>
      </c>
      <c r="F30" s="115" t="s">
        <v>713</v>
      </c>
      <c r="G30" s="114" t="s">
        <v>64</v>
      </c>
      <c r="H30" s="114">
        <f>ROUND(56.707,3)</f>
        <v>56.707000000000001</v>
      </c>
      <c r="I30" s="114">
        <v>0</v>
      </c>
      <c r="J30" s="114">
        <f>ROUND(H30,3) * I30</f>
        <v>0</v>
      </c>
      <c r="K30" s="116"/>
      <c r="L30" s="117">
        <f>ROUND(ROUND(H30,3) * ROUND(K30,2),2)</f>
        <v>0</v>
      </c>
    </row>
    <row r="31" spans="1:12" ht="22.5" x14ac:dyDescent="0.2">
      <c r="A31" s="124" t="s">
        <v>49</v>
      </c>
      <c r="B31" s="125"/>
      <c r="F31" s="119" t="s">
        <v>714</v>
      </c>
      <c r="L31" s="127"/>
    </row>
    <row r="32" spans="1:12" ht="45" x14ac:dyDescent="0.2">
      <c r="A32" s="107" t="s">
        <v>51</v>
      </c>
      <c r="B32" s="125"/>
      <c r="F32" s="122" t="s">
        <v>715</v>
      </c>
      <c r="L32" s="127"/>
    </row>
    <row r="33" spans="1:12" ht="304.5" thickBot="1" x14ac:dyDescent="0.25">
      <c r="A33" s="124" t="s">
        <v>53</v>
      </c>
      <c r="B33" s="125"/>
      <c r="F33" s="123" t="s">
        <v>566</v>
      </c>
      <c r="L33" s="127"/>
    </row>
    <row r="34" spans="1:12" ht="11.25" customHeight="1" thickBot="1" x14ac:dyDescent="0.25">
      <c r="A34" s="124" t="s">
        <v>44</v>
      </c>
      <c r="B34" s="113">
        <v>6</v>
      </c>
      <c r="C34" s="114" t="s">
        <v>716</v>
      </c>
      <c r="D34" s="115" t="s">
        <v>60</v>
      </c>
      <c r="E34" s="115" t="s">
        <v>46</v>
      </c>
      <c r="F34" s="115" t="s">
        <v>717</v>
      </c>
      <c r="G34" s="114" t="s">
        <v>64</v>
      </c>
      <c r="H34" s="114">
        <f>ROUND(220.515,3)</f>
        <v>220.51499999999999</v>
      </c>
      <c r="I34" s="114">
        <v>0</v>
      </c>
      <c r="J34" s="114">
        <f>ROUND(H34,3) * I34</f>
        <v>0</v>
      </c>
      <c r="K34" s="116"/>
      <c r="L34" s="117">
        <f>ROUND(ROUND(H34,3) * ROUND(K34,2),2)</f>
        <v>0</v>
      </c>
    </row>
    <row r="35" spans="1:12" x14ac:dyDescent="0.2">
      <c r="A35" s="124" t="s">
        <v>49</v>
      </c>
      <c r="B35" s="125"/>
      <c r="F35" s="119" t="s">
        <v>17</v>
      </c>
      <c r="L35" s="127"/>
    </row>
    <row r="36" spans="1:12" x14ac:dyDescent="0.2">
      <c r="A36" s="107" t="s">
        <v>51</v>
      </c>
      <c r="B36" s="125"/>
      <c r="F36" s="122" t="s">
        <v>718</v>
      </c>
      <c r="L36" s="127"/>
    </row>
    <row r="37" spans="1:12" ht="248.25" thickBot="1" x14ac:dyDescent="0.25">
      <c r="A37" s="124" t="s">
        <v>53</v>
      </c>
      <c r="B37" s="125"/>
      <c r="F37" s="123" t="s">
        <v>719</v>
      </c>
      <c r="L37" s="127"/>
    </row>
    <row r="38" spans="1:12" ht="11.25" customHeight="1" thickBot="1" x14ac:dyDescent="0.25">
      <c r="A38" s="124" t="s">
        <v>44</v>
      </c>
      <c r="B38" s="113">
        <v>7</v>
      </c>
      <c r="C38" s="114" t="s">
        <v>720</v>
      </c>
      <c r="D38" s="115" t="s">
        <v>60</v>
      </c>
      <c r="E38" s="115" t="s">
        <v>46</v>
      </c>
      <c r="F38" s="115" t="s">
        <v>721</v>
      </c>
      <c r="G38" s="114" t="s">
        <v>64</v>
      </c>
      <c r="H38" s="114">
        <f>ROUND(154.361,3)</f>
        <v>154.36099999999999</v>
      </c>
      <c r="I38" s="114">
        <v>0</v>
      </c>
      <c r="J38" s="114">
        <f>ROUND(H38,3) * I38</f>
        <v>0</v>
      </c>
      <c r="K38" s="116"/>
      <c r="L38" s="117">
        <f>ROUND(ROUND(H38,3) * ROUND(K38,2),2)</f>
        <v>0</v>
      </c>
    </row>
    <row r="39" spans="1:12" x14ac:dyDescent="0.2">
      <c r="A39" s="124" t="s">
        <v>49</v>
      </c>
      <c r="B39" s="125"/>
      <c r="F39" s="119" t="s">
        <v>17</v>
      </c>
      <c r="L39" s="127"/>
    </row>
    <row r="40" spans="1:12" ht="22.5" x14ac:dyDescent="0.2">
      <c r="A40" s="107" t="s">
        <v>51</v>
      </c>
      <c r="B40" s="125"/>
      <c r="F40" s="122" t="s">
        <v>722</v>
      </c>
      <c r="L40" s="127"/>
    </row>
    <row r="41" spans="1:12" ht="225.75" thickBot="1" x14ac:dyDescent="0.25">
      <c r="A41" s="124" t="s">
        <v>53</v>
      </c>
      <c r="B41" s="125"/>
      <c r="F41" s="123" t="s">
        <v>723</v>
      </c>
      <c r="L41" s="127"/>
    </row>
    <row r="42" spans="1:12" ht="11.25" customHeight="1" thickBot="1" x14ac:dyDescent="0.25">
      <c r="A42" s="124" t="s">
        <v>44</v>
      </c>
      <c r="B42" s="113">
        <v>8</v>
      </c>
      <c r="C42" s="114" t="s">
        <v>724</v>
      </c>
      <c r="D42" s="115" t="s">
        <v>60</v>
      </c>
      <c r="E42" s="115" t="s">
        <v>46</v>
      </c>
      <c r="F42" s="115" t="s">
        <v>725</v>
      </c>
      <c r="G42" s="114" t="s">
        <v>64</v>
      </c>
      <c r="H42" s="114">
        <f>ROUND(143.59,3)</f>
        <v>143.59</v>
      </c>
      <c r="I42" s="114">
        <v>0</v>
      </c>
      <c r="J42" s="114">
        <f>ROUND(H42,3) * I42</f>
        <v>0</v>
      </c>
      <c r="K42" s="116"/>
      <c r="L42" s="117">
        <f>ROUND(ROUND(H42,3) * ROUND(K42,2),2)</f>
        <v>0</v>
      </c>
    </row>
    <row r="43" spans="1:12" x14ac:dyDescent="0.2">
      <c r="A43" s="124" t="s">
        <v>49</v>
      </c>
      <c r="B43" s="125"/>
      <c r="F43" s="119" t="s">
        <v>17</v>
      </c>
      <c r="L43" s="127"/>
    </row>
    <row r="44" spans="1:12" x14ac:dyDescent="0.2">
      <c r="A44" s="107" t="s">
        <v>51</v>
      </c>
      <c r="B44" s="125"/>
      <c r="F44" s="122" t="s">
        <v>726</v>
      </c>
      <c r="L44" s="127"/>
    </row>
    <row r="45" spans="1:12" ht="237" thickBot="1" x14ac:dyDescent="0.25">
      <c r="A45" s="124" t="s">
        <v>53</v>
      </c>
      <c r="B45" s="125"/>
      <c r="F45" s="123" t="s">
        <v>727</v>
      </c>
      <c r="L45" s="127"/>
    </row>
    <row r="46" spans="1:12" ht="11.25" customHeight="1" thickBot="1" x14ac:dyDescent="0.25">
      <c r="A46" s="124" t="s">
        <v>44</v>
      </c>
      <c r="B46" s="113">
        <v>9</v>
      </c>
      <c r="C46" s="114" t="s">
        <v>72</v>
      </c>
      <c r="D46" s="115" t="s">
        <v>60</v>
      </c>
      <c r="E46" s="115" t="s">
        <v>46</v>
      </c>
      <c r="F46" s="115" t="s">
        <v>73</v>
      </c>
      <c r="G46" s="114" t="s">
        <v>64</v>
      </c>
      <c r="H46" s="114">
        <f>ROUND(12.6,3)</f>
        <v>12.6</v>
      </c>
      <c r="I46" s="114">
        <v>0</v>
      </c>
      <c r="J46" s="114">
        <f>ROUND(H46,3) * I46</f>
        <v>0</v>
      </c>
      <c r="K46" s="116"/>
      <c r="L46" s="117">
        <f>ROUND(ROUND(H46,3) * ROUND(K46,2),2)</f>
        <v>0</v>
      </c>
    </row>
    <row r="47" spans="1:12" x14ac:dyDescent="0.2">
      <c r="A47" s="124" t="s">
        <v>49</v>
      </c>
      <c r="B47" s="125"/>
      <c r="F47" s="119" t="s">
        <v>17</v>
      </c>
      <c r="L47" s="127"/>
    </row>
    <row r="48" spans="1:12" x14ac:dyDescent="0.2">
      <c r="A48" s="107" t="s">
        <v>51</v>
      </c>
      <c r="B48" s="125"/>
      <c r="F48" s="122" t="s">
        <v>728</v>
      </c>
      <c r="L48" s="127"/>
    </row>
    <row r="49" spans="1:12" ht="192" thickBot="1" x14ac:dyDescent="0.25">
      <c r="A49" s="124" t="s">
        <v>53</v>
      </c>
      <c r="B49" s="125"/>
      <c r="F49" s="123" t="s">
        <v>729</v>
      </c>
      <c r="L49" s="127"/>
    </row>
    <row r="50" spans="1:12" ht="11.25" customHeight="1" thickBot="1" x14ac:dyDescent="0.25">
      <c r="A50" s="124" t="s">
        <v>44</v>
      </c>
      <c r="B50" s="113">
        <v>10</v>
      </c>
      <c r="C50" s="114" t="s">
        <v>730</v>
      </c>
      <c r="D50" s="115" t="s">
        <v>60</v>
      </c>
      <c r="E50" s="115" t="s">
        <v>46</v>
      </c>
      <c r="F50" s="115" t="s">
        <v>731</v>
      </c>
      <c r="G50" s="114" t="s">
        <v>81</v>
      </c>
      <c r="H50" s="114">
        <f>ROUND(15,3)</f>
        <v>15</v>
      </c>
      <c r="I50" s="114">
        <v>0</v>
      </c>
      <c r="J50" s="114">
        <f>ROUND(H50,3) * I50</f>
        <v>0</v>
      </c>
      <c r="K50" s="116"/>
      <c r="L50" s="117">
        <f>ROUND(ROUND(H50,3) * ROUND(K50,2),2)</f>
        <v>0</v>
      </c>
    </row>
    <row r="51" spans="1:12" ht="22.5" x14ac:dyDescent="0.2">
      <c r="A51" s="124" t="s">
        <v>49</v>
      </c>
      <c r="B51" s="125"/>
      <c r="F51" s="119" t="s">
        <v>732</v>
      </c>
      <c r="L51" s="127"/>
    </row>
    <row r="52" spans="1:12" x14ac:dyDescent="0.2">
      <c r="A52" s="107" t="s">
        <v>51</v>
      </c>
      <c r="B52" s="125"/>
      <c r="F52" s="122" t="s">
        <v>733</v>
      </c>
      <c r="L52" s="127"/>
    </row>
    <row r="53" spans="1:12" ht="23.25" thickBot="1" x14ac:dyDescent="0.25">
      <c r="A53" s="124" t="s">
        <v>53</v>
      </c>
      <c r="B53" s="125"/>
      <c r="F53" s="123" t="s">
        <v>734</v>
      </c>
      <c r="L53" s="127"/>
    </row>
    <row r="54" spans="1:12" ht="13.5" customHeight="1" thickBot="1" x14ac:dyDescent="0.25">
      <c r="B54" s="128" t="s">
        <v>58</v>
      </c>
      <c r="C54" s="129" t="s">
        <v>59</v>
      </c>
      <c r="D54" s="130"/>
      <c r="E54" s="130"/>
      <c r="F54" s="130" t="s">
        <v>61</v>
      </c>
      <c r="G54" s="130"/>
      <c r="H54" s="130"/>
      <c r="I54" s="130"/>
      <c r="J54" s="130"/>
      <c r="K54" s="130"/>
      <c r="L54" s="131">
        <f>SUM(L14:L53)</f>
        <v>0</v>
      </c>
    </row>
    <row r="55" spans="1:12" ht="20.100000000000001" customHeight="1" thickBot="1" x14ac:dyDescent="0.25">
      <c r="A55" s="124" t="s">
        <v>40</v>
      </c>
      <c r="B55" s="132" t="s">
        <v>41</v>
      </c>
      <c r="C55" s="109" t="s">
        <v>198</v>
      </c>
      <c r="D55" s="110"/>
      <c r="E55" s="110"/>
      <c r="F55" s="111" t="s">
        <v>567</v>
      </c>
      <c r="G55" s="110"/>
      <c r="H55" s="110"/>
      <c r="I55" s="110"/>
      <c r="J55" s="110"/>
      <c r="K55" s="110"/>
      <c r="L55" s="112"/>
    </row>
    <row r="56" spans="1:12" ht="11.25" customHeight="1" thickBot="1" x14ac:dyDescent="0.25">
      <c r="A56" s="124" t="s">
        <v>44</v>
      </c>
      <c r="B56" s="113">
        <v>11</v>
      </c>
      <c r="C56" s="114" t="s">
        <v>735</v>
      </c>
      <c r="D56" s="115" t="s">
        <v>60</v>
      </c>
      <c r="E56" s="115" t="s">
        <v>46</v>
      </c>
      <c r="F56" s="115" t="s">
        <v>736</v>
      </c>
      <c r="G56" s="114" t="s">
        <v>81</v>
      </c>
      <c r="H56" s="114">
        <f>ROUND(115.2,3)</f>
        <v>115.2</v>
      </c>
      <c r="I56" s="114">
        <v>0</v>
      </c>
      <c r="J56" s="114">
        <f>ROUND(H56,3) * I56</f>
        <v>0</v>
      </c>
      <c r="K56" s="116"/>
      <c r="L56" s="117">
        <f>ROUND(ROUND(H56,3) * ROUND(K56,2),2)</f>
        <v>0</v>
      </c>
    </row>
    <row r="57" spans="1:12" x14ac:dyDescent="0.2">
      <c r="A57" s="124" t="s">
        <v>49</v>
      </c>
      <c r="B57" s="125"/>
      <c r="F57" s="119" t="s">
        <v>737</v>
      </c>
      <c r="L57" s="127"/>
    </row>
    <row r="58" spans="1:12" ht="33.75" x14ac:dyDescent="0.2">
      <c r="A58" s="107" t="s">
        <v>51</v>
      </c>
      <c r="B58" s="125"/>
      <c r="F58" s="122" t="s">
        <v>738</v>
      </c>
      <c r="L58" s="127"/>
    </row>
    <row r="59" spans="1:12" ht="90.75" thickBot="1" x14ac:dyDescent="0.25">
      <c r="A59" s="124" t="s">
        <v>53</v>
      </c>
      <c r="B59" s="125"/>
      <c r="F59" s="123" t="s">
        <v>739</v>
      </c>
      <c r="L59" s="127"/>
    </row>
    <row r="60" spans="1:12" ht="11.25" customHeight="1" thickBot="1" x14ac:dyDescent="0.25">
      <c r="A60" s="124" t="s">
        <v>44</v>
      </c>
      <c r="B60" s="113">
        <v>12</v>
      </c>
      <c r="C60" s="114" t="s">
        <v>740</v>
      </c>
      <c r="D60" s="115" t="s">
        <v>60</v>
      </c>
      <c r="E60" s="115" t="s">
        <v>46</v>
      </c>
      <c r="F60" s="115" t="s">
        <v>741</v>
      </c>
      <c r="G60" s="114" t="s">
        <v>81</v>
      </c>
      <c r="H60" s="114">
        <f>ROUND(118,3)</f>
        <v>118</v>
      </c>
      <c r="I60" s="114">
        <v>0</v>
      </c>
      <c r="J60" s="114">
        <f>ROUND(H60,3) * I60</f>
        <v>0</v>
      </c>
      <c r="K60" s="116"/>
      <c r="L60" s="117">
        <f>ROUND(ROUND(H60,3) * ROUND(K60,2),2)</f>
        <v>0</v>
      </c>
    </row>
    <row r="61" spans="1:12" x14ac:dyDescent="0.2">
      <c r="A61" s="124" t="s">
        <v>49</v>
      </c>
      <c r="B61" s="125"/>
      <c r="F61" s="119" t="s">
        <v>742</v>
      </c>
      <c r="L61" s="127"/>
    </row>
    <row r="62" spans="1:12" x14ac:dyDescent="0.2">
      <c r="A62" s="107" t="s">
        <v>51</v>
      </c>
      <c r="B62" s="125"/>
      <c r="F62" s="122" t="s">
        <v>743</v>
      </c>
      <c r="L62" s="127"/>
    </row>
    <row r="63" spans="1:12" ht="90.75" thickBot="1" x14ac:dyDescent="0.25">
      <c r="A63" s="124" t="s">
        <v>53</v>
      </c>
      <c r="B63" s="125"/>
      <c r="F63" s="123" t="s">
        <v>744</v>
      </c>
      <c r="L63" s="127"/>
    </row>
    <row r="64" spans="1:12" ht="13.5" customHeight="1" thickBot="1" x14ac:dyDescent="0.25">
      <c r="B64" s="128" t="s">
        <v>58</v>
      </c>
      <c r="C64" s="129" t="s">
        <v>59</v>
      </c>
      <c r="D64" s="130"/>
      <c r="E64" s="130"/>
      <c r="F64" s="130" t="s">
        <v>567</v>
      </c>
      <c r="G64" s="130"/>
      <c r="H64" s="130"/>
      <c r="I64" s="130"/>
      <c r="J64" s="130"/>
      <c r="K64" s="130"/>
      <c r="L64" s="131">
        <f>SUM(L56:L63)</f>
        <v>0</v>
      </c>
    </row>
    <row r="65" spans="1:12" ht="20.100000000000001" customHeight="1" thickBot="1" x14ac:dyDescent="0.25">
      <c r="A65" s="124" t="s">
        <v>40</v>
      </c>
      <c r="B65" s="132" t="s">
        <v>41</v>
      </c>
      <c r="C65" s="109" t="s">
        <v>425</v>
      </c>
      <c r="D65" s="110"/>
      <c r="E65" s="110"/>
      <c r="F65" s="111" t="s">
        <v>426</v>
      </c>
      <c r="G65" s="110"/>
      <c r="H65" s="110"/>
      <c r="I65" s="110"/>
      <c r="J65" s="110"/>
      <c r="K65" s="110"/>
      <c r="L65" s="112"/>
    </row>
    <row r="66" spans="1:12" ht="11.25" customHeight="1" thickBot="1" x14ac:dyDescent="0.25">
      <c r="A66" s="124" t="s">
        <v>44</v>
      </c>
      <c r="B66" s="113">
        <v>13</v>
      </c>
      <c r="C66" s="114" t="s">
        <v>745</v>
      </c>
      <c r="D66" s="115" t="s">
        <v>60</v>
      </c>
      <c r="E66" s="115" t="s">
        <v>46</v>
      </c>
      <c r="F66" s="115" t="s">
        <v>746</v>
      </c>
      <c r="G66" s="114" t="s">
        <v>64</v>
      </c>
      <c r="H66" s="114">
        <f>ROUND(106.427,3)</f>
        <v>106.42700000000001</v>
      </c>
      <c r="I66" s="114">
        <v>0</v>
      </c>
      <c r="J66" s="114">
        <f>ROUND(H66,3) * I66</f>
        <v>0</v>
      </c>
      <c r="K66" s="116"/>
      <c r="L66" s="117">
        <f>ROUND(ROUND(H66,3) * ROUND(K66,2),2)</f>
        <v>0</v>
      </c>
    </row>
    <row r="67" spans="1:12" x14ac:dyDescent="0.2">
      <c r="A67" s="124" t="s">
        <v>49</v>
      </c>
      <c r="B67" s="125"/>
      <c r="F67" s="119" t="s">
        <v>17</v>
      </c>
      <c r="L67" s="127"/>
    </row>
    <row r="68" spans="1:12" x14ac:dyDescent="0.2">
      <c r="A68" s="107" t="s">
        <v>51</v>
      </c>
      <c r="B68" s="125"/>
      <c r="F68" s="122" t="s">
        <v>747</v>
      </c>
      <c r="L68" s="127"/>
    </row>
    <row r="69" spans="1:12" ht="45.75" thickBot="1" x14ac:dyDescent="0.25">
      <c r="A69" s="124" t="s">
        <v>53</v>
      </c>
      <c r="B69" s="125"/>
      <c r="F69" s="123" t="s">
        <v>656</v>
      </c>
      <c r="L69" s="127"/>
    </row>
    <row r="70" spans="1:12" ht="11.25" customHeight="1" thickBot="1" x14ac:dyDescent="0.25">
      <c r="A70" s="124" t="s">
        <v>44</v>
      </c>
      <c r="B70" s="113">
        <v>14</v>
      </c>
      <c r="C70" s="114" t="s">
        <v>657</v>
      </c>
      <c r="D70" s="115" t="s">
        <v>60</v>
      </c>
      <c r="E70" s="115" t="s">
        <v>46</v>
      </c>
      <c r="F70" s="115" t="s">
        <v>658</v>
      </c>
      <c r="G70" s="114" t="s">
        <v>64</v>
      </c>
      <c r="H70" s="114">
        <f>ROUND(35.06,3)</f>
        <v>35.06</v>
      </c>
      <c r="I70" s="114">
        <v>0</v>
      </c>
      <c r="J70" s="114">
        <f>ROUND(H70,3) * I70</f>
        <v>0</v>
      </c>
      <c r="K70" s="116"/>
      <c r="L70" s="117">
        <f>ROUND(ROUND(H70,3) * ROUND(K70,2),2)</f>
        <v>0</v>
      </c>
    </row>
    <row r="71" spans="1:12" x14ac:dyDescent="0.2">
      <c r="A71" s="124" t="s">
        <v>49</v>
      </c>
      <c r="B71" s="125"/>
      <c r="F71" s="119" t="s">
        <v>748</v>
      </c>
      <c r="L71" s="127"/>
    </row>
    <row r="72" spans="1:12" ht="22.5" x14ac:dyDescent="0.2">
      <c r="A72" s="107" t="s">
        <v>51</v>
      </c>
      <c r="B72" s="125"/>
      <c r="F72" s="122" t="s">
        <v>749</v>
      </c>
      <c r="L72" s="127"/>
    </row>
    <row r="73" spans="1:12" ht="79.5" thickBot="1" x14ac:dyDescent="0.25">
      <c r="A73" s="124" t="s">
        <v>53</v>
      </c>
      <c r="B73" s="125"/>
      <c r="F73" s="123" t="s">
        <v>660</v>
      </c>
      <c r="L73" s="127"/>
    </row>
    <row r="74" spans="1:12" ht="11.25" customHeight="1" thickBot="1" x14ac:dyDescent="0.25">
      <c r="A74" s="124" t="s">
        <v>44</v>
      </c>
      <c r="B74" s="113">
        <v>15</v>
      </c>
      <c r="C74" s="114" t="s">
        <v>750</v>
      </c>
      <c r="D74" s="115" t="s">
        <v>60</v>
      </c>
      <c r="E74" s="115" t="s">
        <v>46</v>
      </c>
      <c r="F74" s="115" t="s">
        <v>751</v>
      </c>
      <c r="G74" s="114" t="s">
        <v>81</v>
      </c>
      <c r="H74" s="114">
        <f>ROUND(575.041,3)</f>
        <v>575.04100000000005</v>
      </c>
      <c r="I74" s="114">
        <v>0</v>
      </c>
      <c r="J74" s="114">
        <f>ROUND(H74,3) * I74</f>
        <v>0</v>
      </c>
      <c r="K74" s="116"/>
      <c r="L74" s="117">
        <f>ROUND(ROUND(H74,3) * ROUND(K74,2),2)</f>
        <v>0</v>
      </c>
    </row>
    <row r="75" spans="1:12" x14ac:dyDescent="0.2">
      <c r="A75" s="124" t="s">
        <v>49</v>
      </c>
      <c r="B75" s="125"/>
      <c r="F75" s="119" t="s">
        <v>17</v>
      </c>
      <c r="L75" s="127"/>
    </row>
    <row r="76" spans="1:12" ht="22.5" x14ac:dyDescent="0.2">
      <c r="A76" s="107" t="s">
        <v>51</v>
      </c>
      <c r="B76" s="125"/>
      <c r="F76" s="122" t="s">
        <v>752</v>
      </c>
      <c r="L76" s="127"/>
    </row>
    <row r="77" spans="1:12" ht="45.75" thickBot="1" x14ac:dyDescent="0.25">
      <c r="A77" s="124" t="s">
        <v>53</v>
      </c>
      <c r="B77" s="125"/>
      <c r="F77" s="123" t="s">
        <v>753</v>
      </c>
      <c r="L77" s="127"/>
    </row>
    <row r="78" spans="1:12" ht="13.5" customHeight="1" thickBot="1" x14ac:dyDescent="0.25">
      <c r="B78" s="128" t="s">
        <v>58</v>
      </c>
      <c r="C78" s="129" t="s">
        <v>59</v>
      </c>
      <c r="D78" s="130"/>
      <c r="E78" s="130"/>
      <c r="F78" s="130" t="s">
        <v>426</v>
      </c>
      <c r="G78" s="130"/>
      <c r="H78" s="130"/>
      <c r="I78" s="130"/>
      <c r="J78" s="130"/>
      <c r="K78" s="130"/>
      <c r="L78" s="131">
        <f>SUM(L66:L77)</f>
        <v>0</v>
      </c>
    </row>
    <row r="79" spans="1:12" ht="20.100000000000001" customHeight="1" thickBot="1" x14ac:dyDescent="0.25">
      <c r="A79" s="124" t="s">
        <v>40</v>
      </c>
      <c r="B79" s="132" t="s">
        <v>41</v>
      </c>
      <c r="C79" s="109" t="s">
        <v>580</v>
      </c>
      <c r="D79" s="110"/>
      <c r="E79" s="110"/>
      <c r="F79" s="111" t="s">
        <v>581</v>
      </c>
      <c r="G79" s="110"/>
      <c r="H79" s="110"/>
      <c r="I79" s="110"/>
      <c r="J79" s="110"/>
      <c r="K79" s="110"/>
      <c r="L79" s="112"/>
    </row>
    <row r="80" spans="1:12" ht="11.25" customHeight="1" thickBot="1" x14ac:dyDescent="0.25">
      <c r="A80" s="124" t="s">
        <v>44</v>
      </c>
      <c r="B80" s="113">
        <v>16</v>
      </c>
      <c r="C80" s="114" t="s">
        <v>754</v>
      </c>
      <c r="D80" s="115" t="s">
        <v>60</v>
      </c>
      <c r="E80" s="115" t="s">
        <v>46</v>
      </c>
      <c r="F80" s="115" t="s">
        <v>755</v>
      </c>
      <c r="G80" s="114" t="s">
        <v>69</v>
      </c>
      <c r="H80" s="114">
        <f>ROUND(13,3)</f>
        <v>13</v>
      </c>
      <c r="I80" s="114">
        <v>0</v>
      </c>
      <c r="J80" s="114">
        <f>ROUND(H80,3) * I80</f>
        <v>0</v>
      </c>
      <c r="K80" s="116"/>
      <c r="L80" s="117">
        <f>ROUND(ROUND(H80,3) * ROUND(K80,2),2)</f>
        <v>0</v>
      </c>
    </row>
    <row r="81" spans="1:12" ht="22.5" x14ac:dyDescent="0.2">
      <c r="A81" s="124" t="s">
        <v>49</v>
      </c>
      <c r="B81" s="125"/>
      <c r="F81" s="119" t="s">
        <v>756</v>
      </c>
      <c r="L81" s="127"/>
    </row>
    <row r="82" spans="1:12" x14ac:dyDescent="0.2">
      <c r="A82" s="107" t="s">
        <v>51</v>
      </c>
      <c r="B82" s="125"/>
      <c r="F82" s="122" t="s">
        <v>757</v>
      </c>
      <c r="L82" s="127"/>
    </row>
    <row r="83" spans="1:12" ht="203.25" thickBot="1" x14ac:dyDescent="0.25">
      <c r="A83" s="124" t="s">
        <v>53</v>
      </c>
      <c r="B83" s="125"/>
      <c r="F83" s="123" t="s">
        <v>758</v>
      </c>
      <c r="L83" s="127"/>
    </row>
    <row r="84" spans="1:12" ht="13.5" customHeight="1" thickBot="1" x14ac:dyDescent="0.25">
      <c r="B84" s="128" t="s">
        <v>58</v>
      </c>
      <c r="C84" s="129" t="s">
        <v>59</v>
      </c>
      <c r="D84" s="130"/>
      <c r="E84" s="130"/>
      <c r="F84" s="130" t="s">
        <v>581</v>
      </c>
      <c r="G84" s="130"/>
      <c r="H84" s="130"/>
      <c r="I84" s="130"/>
      <c r="J84" s="130"/>
      <c r="K84" s="130"/>
      <c r="L84" s="131">
        <f>SUM(L80:L83)</f>
        <v>0</v>
      </c>
    </row>
    <row r="85" spans="1:12" ht="20.100000000000001" customHeight="1" thickBot="1" x14ac:dyDescent="0.25">
      <c r="A85" s="124" t="s">
        <v>40</v>
      </c>
      <c r="B85" s="132" t="s">
        <v>41</v>
      </c>
      <c r="C85" s="109" t="s">
        <v>382</v>
      </c>
      <c r="D85" s="110"/>
      <c r="E85" s="110"/>
      <c r="F85" s="111" t="s">
        <v>435</v>
      </c>
      <c r="G85" s="110"/>
      <c r="H85" s="110"/>
      <c r="I85" s="110"/>
      <c r="J85" s="110"/>
      <c r="K85" s="110"/>
      <c r="L85" s="112"/>
    </row>
    <row r="86" spans="1:12" ht="11.25" customHeight="1" thickBot="1" x14ac:dyDescent="0.25">
      <c r="A86" s="124" t="s">
        <v>44</v>
      </c>
      <c r="B86" s="113">
        <v>17</v>
      </c>
      <c r="C86" s="114" t="s">
        <v>681</v>
      </c>
      <c r="D86" s="115" t="s">
        <v>60</v>
      </c>
      <c r="E86" s="115" t="s">
        <v>46</v>
      </c>
      <c r="F86" s="115" t="s">
        <v>682</v>
      </c>
      <c r="G86" s="114" t="s">
        <v>69</v>
      </c>
      <c r="H86" s="114">
        <f>ROUND(48,3)</f>
        <v>48</v>
      </c>
      <c r="I86" s="114">
        <v>0</v>
      </c>
      <c r="J86" s="114">
        <f>ROUND(H86,3) * I86</f>
        <v>0</v>
      </c>
      <c r="K86" s="116"/>
      <c r="L86" s="117">
        <f>ROUND(ROUND(H86,3) * ROUND(K86,2),2)</f>
        <v>0</v>
      </c>
    </row>
    <row r="87" spans="1:12" x14ac:dyDescent="0.2">
      <c r="A87" s="124" t="s">
        <v>49</v>
      </c>
      <c r="B87" s="125"/>
      <c r="F87" s="119" t="s">
        <v>759</v>
      </c>
      <c r="L87" s="127"/>
    </row>
    <row r="88" spans="1:12" x14ac:dyDescent="0.2">
      <c r="A88" s="107" t="s">
        <v>51</v>
      </c>
      <c r="B88" s="125"/>
      <c r="F88" s="122" t="s">
        <v>760</v>
      </c>
      <c r="L88" s="127"/>
    </row>
    <row r="89" spans="1:12" ht="102" thickBot="1" x14ac:dyDescent="0.25">
      <c r="A89" s="124" t="s">
        <v>53</v>
      </c>
      <c r="B89" s="125"/>
      <c r="F89" s="123" t="s">
        <v>685</v>
      </c>
      <c r="L89" s="127"/>
    </row>
    <row r="90" spans="1:12" ht="11.25" customHeight="1" thickBot="1" x14ac:dyDescent="0.25">
      <c r="A90" s="124" t="s">
        <v>44</v>
      </c>
      <c r="B90" s="113">
        <v>18</v>
      </c>
      <c r="C90" s="114" t="s">
        <v>761</v>
      </c>
      <c r="D90" s="115" t="s">
        <v>60</v>
      </c>
      <c r="E90" s="115" t="s">
        <v>46</v>
      </c>
      <c r="F90" s="115" t="s">
        <v>762</v>
      </c>
      <c r="G90" s="114" t="s">
        <v>91</v>
      </c>
      <c r="H90" s="114">
        <f>ROUND(10,3)</f>
        <v>10</v>
      </c>
      <c r="I90" s="114">
        <v>0</v>
      </c>
      <c r="J90" s="114">
        <f>ROUND(H90,3) * I90</f>
        <v>0</v>
      </c>
      <c r="K90" s="116"/>
      <c r="L90" s="117">
        <f>ROUND(ROUND(H90,3) * ROUND(K90,2),2)</f>
        <v>0</v>
      </c>
    </row>
    <row r="91" spans="1:12" x14ac:dyDescent="0.2">
      <c r="A91" s="124" t="s">
        <v>49</v>
      </c>
      <c r="B91" s="125"/>
      <c r="F91" s="119" t="s">
        <v>17</v>
      </c>
      <c r="L91" s="127"/>
    </row>
    <row r="92" spans="1:12" x14ac:dyDescent="0.2">
      <c r="A92" s="107" t="s">
        <v>51</v>
      </c>
      <c r="B92" s="125"/>
      <c r="F92" s="122" t="s">
        <v>763</v>
      </c>
      <c r="L92" s="127"/>
    </row>
    <row r="93" spans="1:12" ht="12" thickBot="1" x14ac:dyDescent="0.25">
      <c r="A93" s="124" t="s">
        <v>53</v>
      </c>
      <c r="B93" s="125"/>
      <c r="F93" s="123" t="s">
        <v>764</v>
      </c>
      <c r="L93" s="127"/>
    </row>
    <row r="94" spans="1:12" ht="11.25" customHeight="1" thickBot="1" x14ac:dyDescent="0.25">
      <c r="A94" s="124" t="s">
        <v>44</v>
      </c>
      <c r="B94" s="113">
        <v>19</v>
      </c>
      <c r="C94" s="114" t="s">
        <v>765</v>
      </c>
      <c r="D94" s="115" t="s">
        <v>60</v>
      </c>
      <c r="E94" s="115" t="s">
        <v>46</v>
      </c>
      <c r="F94" s="115" t="s">
        <v>766</v>
      </c>
      <c r="G94" s="114" t="s">
        <v>91</v>
      </c>
      <c r="H94" s="114">
        <f>ROUND(42,3)</f>
        <v>42</v>
      </c>
      <c r="I94" s="114">
        <v>0</v>
      </c>
      <c r="J94" s="114">
        <f>ROUND(H94,3) * I94</f>
        <v>0</v>
      </c>
      <c r="K94" s="116"/>
      <c r="L94" s="117">
        <f>ROUND(ROUND(H94,3) * ROUND(K94,2),2)</f>
        <v>0</v>
      </c>
    </row>
    <row r="95" spans="1:12" x14ac:dyDescent="0.2">
      <c r="A95" s="124" t="s">
        <v>49</v>
      </c>
      <c r="B95" s="125"/>
      <c r="F95" s="119" t="s">
        <v>767</v>
      </c>
      <c r="L95" s="127"/>
    </row>
    <row r="96" spans="1:12" ht="45" x14ac:dyDescent="0.2">
      <c r="A96" s="107" t="s">
        <v>51</v>
      </c>
      <c r="B96" s="125"/>
      <c r="F96" s="122" t="s">
        <v>768</v>
      </c>
      <c r="L96" s="127"/>
    </row>
    <row r="97" spans="1:12" ht="57" thickBot="1" x14ac:dyDescent="0.25">
      <c r="A97" s="124" t="s">
        <v>53</v>
      </c>
      <c r="B97" s="125"/>
      <c r="F97" s="123" t="s">
        <v>769</v>
      </c>
      <c r="L97" s="127"/>
    </row>
    <row r="98" spans="1:12" ht="11.25" customHeight="1" thickBot="1" x14ac:dyDescent="0.25">
      <c r="A98" s="124" t="s">
        <v>44</v>
      </c>
      <c r="B98" s="113">
        <v>20</v>
      </c>
      <c r="C98" s="114" t="s">
        <v>770</v>
      </c>
      <c r="D98" s="115" t="s">
        <v>60</v>
      </c>
      <c r="E98" s="115" t="s">
        <v>46</v>
      </c>
      <c r="F98" s="115" t="s">
        <v>771</v>
      </c>
      <c r="G98" s="114" t="s">
        <v>91</v>
      </c>
      <c r="H98" s="114">
        <f>ROUND(42,3)</f>
        <v>42</v>
      </c>
      <c r="I98" s="114">
        <v>0</v>
      </c>
      <c r="J98" s="114">
        <f>ROUND(H98,3) * I98</f>
        <v>0</v>
      </c>
      <c r="K98" s="116"/>
      <c r="L98" s="117">
        <f>ROUND(ROUND(H98,3) * ROUND(K98,2),2)</f>
        <v>0</v>
      </c>
    </row>
    <row r="99" spans="1:12" x14ac:dyDescent="0.2">
      <c r="A99" s="124" t="s">
        <v>49</v>
      </c>
      <c r="B99" s="125"/>
      <c r="F99" s="119" t="s">
        <v>17</v>
      </c>
      <c r="L99" s="127"/>
    </row>
    <row r="100" spans="1:12" x14ac:dyDescent="0.2">
      <c r="A100" s="107" t="s">
        <v>51</v>
      </c>
      <c r="B100" s="125"/>
      <c r="F100" s="122" t="s">
        <v>772</v>
      </c>
      <c r="L100" s="127"/>
    </row>
    <row r="101" spans="1:12" ht="12" thickBot="1" x14ac:dyDescent="0.25">
      <c r="A101" s="124" t="s">
        <v>53</v>
      </c>
      <c r="B101" s="125"/>
      <c r="F101" s="123" t="s">
        <v>386</v>
      </c>
      <c r="L101" s="127"/>
    </row>
    <row r="102" spans="1:12" ht="11.25" customHeight="1" thickBot="1" x14ac:dyDescent="0.25">
      <c r="A102" s="124" t="s">
        <v>44</v>
      </c>
      <c r="B102" s="113">
        <v>21</v>
      </c>
      <c r="C102" s="114" t="s">
        <v>773</v>
      </c>
      <c r="D102" s="115" t="s">
        <v>60</v>
      </c>
      <c r="E102" s="115" t="s">
        <v>46</v>
      </c>
      <c r="F102" s="115" t="s">
        <v>774</v>
      </c>
      <c r="G102" s="114" t="s">
        <v>775</v>
      </c>
      <c r="H102" s="114">
        <f>ROUND(336,3)</f>
        <v>336</v>
      </c>
      <c r="I102" s="114">
        <v>0</v>
      </c>
      <c r="J102" s="114">
        <f>ROUND(H102,3) * I102</f>
        <v>0</v>
      </c>
      <c r="K102" s="116"/>
      <c r="L102" s="117">
        <f>ROUND(ROUND(H102,3) * ROUND(K102,2),2)</f>
        <v>0</v>
      </c>
    </row>
    <row r="103" spans="1:12" x14ac:dyDescent="0.2">
      <c r="A103" s="124" t="s">
        <v>49</v>
      </c>
      <c r="B103" s="125"/>
      <c r="F103" s="119" t="s">
        <v>17</v>
      </c>
      <c r="L103" s="127"/>
    </row>
    <row r="104" spans="1:12" x14ac:dyDescent="0.2">
      <c r="A104" s="107" t="s">
        <v>51</v>
      </c>
      <c r="B104" s="125"/>
      <c r="F104" s="122" t="s">
        <v>776</v>
      </c>
      <c r="L104" s="127"/>
    </row>
    <row r="105" spans="1:12" ht="23.25" thickBot="1" x14ac:dyDescent="0.25">
      <c r="A105" s="124" t="s">
        <v>53</v>
      </c>
      <c r="B105" s="125"/>
      <c r="F105" s="123" t="s">
        <v>393</v>
      </c>
      <c r="L105" s="127"/>
    </row>
    <row r="106" spans="1:12" ht="11.25" customHeight="1" thickBot="1" x14ac:dyDescent="0.25">
      <c r="A106" s="124" t="s">
        <v>44</v>
      </c>
      <c r="B106" s="113">
        <v>22</v>
      </c>
      <c r="C106" s="114" t="s">
        <v>777</v>
      </c>
      <c r="D106" s="115" t="s">
        <v>60</v>
      </c>
      <c r="E106" s="115" t="s">
        <v>46</v>
      </c>
      <c r="F106" s="115" t="s">
        <v>778</v>
      </c>
      <c r="G106" s="114" t="s">
        <v>91</v>
      </c>
      <c r="H106" s="114">
        <f>ROUND(2,3)</f>
        <v>2</v>
      </c>
      <c r="I106" s="114">
        <v>0</v>
      </c>
      <c r="J106" s="114">
        <f>ROUND(H106,3) * I106</f>
        <v>0</v>
      </c>
      <c r="K106" s="116"/>
      <c r="L106" s="117">
        <f>ROUND(ROUND(H106,3) * ROUND(K106,2),2)</f>
        <v>0</v>
      </c>
    </row>
    <row r="107" spans="1:12" x14ac:dyDescent="0.2">
      <c r="A107" s="124" t="s">
        <v>49</v>
      </c>
      <c r="B107" s="125"/>
      <c r="F107" s="119" t="s">
        <v>779</v>
      </c>
      <c r="L107" s="127"/>
    </row>
    <row r="108" spans="1:12" x14ac:dyDescent="0.2">
      <c r="A108" s="107" t="s">
        <v>51</v>
      </c>
      <c r="B108" s="125"/>
      <c r="F108" s="122" t="s">
        <v>780</v>
      </c>
      <c r="L108" s="127"/>
    </row>
    <row r="109" spans="1:12" ht="57" thickBot="1" x14ac:dyDescent="0.25">
      <c r="A109" s="124" t="s">
        <v>53</v>
      </c>
      <c r="B109" s="125"/>
      <c r="F109" s="123" t="s">
        <v>781</v>
      </c>
      <c r="L109" s="127"/>
    </row>
    <row r="110" spans="1:12" ht="11.25" customHeight="1" thickBot="1" x14ac:dyDescent="0.25">
      <c r="A110" s="124" t="s">
        <v>44</v>
      </c>
      <c r="B110" s="113">
        <v>23</v>
      </c>
      <c r="C110" s="114" t="s">
        <v>782</v>
      </c>
      <c r="D110" s="115" t="s">
        <v>60</v>
      </c>
      <c r="E110" s="115" t="s">
        <v>46</v>
      </c>
      <c r="F110" s="115" t="s">
        <v>783</v>
      </c>
      <c r="G110" s="114" t="s">
        <v>91</v>
      </c>
      <c r="H110" s="114">
        <f>ROUND(2,3)</f>
        <v>2</v>
      </c>
      <c r="I110" s="114">
        <v>0</v>
      </c>
      <c r="J110" s="114">
        <f>ROUND(H110,3) * I110</f>
        <v>0</v>
      </c>
      <c r="K110" s="116"/>
      <c r="L110" s="117">
        <f>ROUND(ROUND(H110,3) * ROUND(K110,2),2)</f>
        <v>0</v>
      </c>
    </row>
    <row r="111" spans="1:12" x14ac:dyDescent="0.2">
      <c r="A111" s="124" t="s">
        <v>49</v>
      </c>
      <c r="B111" s="125"/>
      <c r="F111" s="119" t="s">
        <v>17</v>
      </c>
      <c r="L111" s="127"/>
    </row>
    <row r="112" spans="1:12" x14ac:dyDescent="0.2">
      <c r="A112" s="107" t="s">
        <v>51</v>
      </c>
      <c r="B112" s="125"/>
      <c r="F112" s="122" t="s">
        <v>596</v>
      </c>
      <c r="L112" s="127"/>
    </row>
    <row r="113" spans="1:12" ht="12" thickBot="1" x14ac:dyDescent="0.25">
      <c r="A113" s="124" t="s">
        <v>53</v>
      </c>
      <c r="B113" s="125"/>
      <c r="F113" s="123" t="s">
        <v>784</v>
      </c>
      <c r="L113" s="127"/>
    </row>
    <row r="114" spans="1:12" ht="11.25" customHeight="1" thickBot="1" x14ac:dyDescent="0.25">
      <c r="A114" s="124" t="s">
        <v>44</v>
      </c>
      <c r="B114" s="113">
        <v>24</v>
      </c>
      <c r="C114" s="114" t="s">
        <v>785</v>
      </c>
      <c r="D114" s="115" t="s">
        <v>60</v>
      </c>
      <c r="E114" s="115" t="s">
        <v>46</v>
      </c>
      <c r="F114" s="115" t="s">
        <v>786</v>
      </c>
      <c r="G114" s="114" t="s">
        <v>775</v>
      </c>
      <c r="H114" s="114">
        <f>ROUND(16,3)</f>
        <v>16</v>
      </c>
      <c r="I114" s="114">
        <v>0</v>
      </c>
      <c r="J114" s="114">
        <f>ROUND(H114,3) * I114</f>
        <v>0</v>
      </c>
      <c r="K114" s="116"/>
      <c r="L114" s="117">
        <f>ROUND(ROUND(H114,3) * ROUND(K114,2),2)</f>
        <v>0</v>
      </c>
    </row>
    <row r="115" spans="1:12" x14ac:dyDescent="0.2">
      <c r="A115" s="124" t="s">
        <v>49</v>
      </c>
      <c r="B115" s="125"/>
      <c r="F115" s="119" t="s">
        <v>17</v>
      </c>
      <c r="L115" s="127"/>
    </row>
    <row r="116" spans="1:12" x14ac:dyDescent="0.2">
      <c r="A116" s="107" t="s">
        <v>51</v>
      </c>
      <c r="B116" s="125"/>
      <c r="F116" s="122" t="s">
        <v>787</v>
      </c>
      <c r="L116" s="127"/>
    </row>
    <row r="117" spans="1:12" ht="23.25" thickBot="1" x14ac:dyDescent="0.25">
      <c r="A117" s="124" t="s">
        <v>53</v>
      </c>
      <c r="B117" s="125"/>
      <c r="F117" s="123" t="s">
        <v>788</v>
      </c>
      <c r="L117" s="127"/>
    </row>
    <row r="118" spans="1:12" ht="11.25" customHeight="1" thickBot="1" x14ac:dyDescent="0.25">
      <c r="A118" s="124" t="s">
        <v>44</v>
      </c>
      <c r="B118" s="113">
        <v>25</v>
      </c>
      <c r="C118" s="114" t="s">
        <v>789</v>
      </c>
      <c r="D118" s="115" t="s">
        <v>60</v>
      </c>
      <c r="E118" s="115" t="s">
        <v>46</v>
      </c>
      <c r="F118" s="115" t="s">
        <v>790</v>
      </c>
      <c r="G118" s="114" t="s">
        <v>91</v>
      </c>
      <c r="H118" s="114">
        <f>ROUND(1,3)</f>
        <v>1</v>
      </c>
      <c r="I118" s="114">
        <v>0</v>
      </c>
      <c r="J118" s="114">
        <f>ROUND(H118,3) * I118</f>
        <v>0</v>
      </c>
      <c r="K118" s="116"/>
      <c r="L118" s="117">
        <f>ROUND(ROUND(H118,3) * ROUND(K118,2),2)</f>
        <v>0</v>
      </c>
    </row>
    <row r="119" spans="1:12" x14ac:dyDescent="0.2">
      <c r="A119" s="124" t="s">
        <v>49</v>
      </c>
      <c r="B119" s="125"/>
      <c r="F119" s="119" t="s">
        <v>791</v>
      </c>
      <c r="L119" s="127"/>
    </row>
    <row r="120" spans="1:12" x14ac:dyDescent="0.2">
      <c r="A120" s="107" t="s">
        <v>51</v>
      </c>
      <c r="B120" s="125"/>
      <c r="F120" s="122" t="s">
        <v>446</v>
      </c>
      <c r="L120" s="127"/>
    </row>
    <row r="121" spans="1:12" ht="57" thickBot="1" x14ac:dyDescent="0.25">
      <c r="A121" s="124" t="s">
        <v>53</v>
      </c>
      <c r="B121" s="125"/>
      <c r="F121" s="123" t="s">
        <v>792</v>
      </c>
      <c r="L121" s="127"/>
    </row>
    <row r="122" spans="1:12" ht="11.25" customHeight="1" thickBot="1" x14ac:dyDescent="0.25">
      <c r="A122" s="124" t="s">
        <v>44</v>
      </c>
      <c r="B122" s="113">
        <v>26</v>
      </c>
      <c r="C122" s="114" t="s">
        <v>793</v>
      </c>
      <c r="D122" s="115" t="s">
        <v>60</v>
      </c>
      <c r="E122" s="115" t="s">
        <v>46</v>
      </c>
      <c r="F122" s="115" t="s">
        <v>794</v>
      </c>
      <c r="G122" s="114" t="s">
        <v>91</v>
      </c>
      <c r="H122" s="114">
        <f>ROUND(1,3)</f>
        <v>1</v>
      </c>
      <c r="I122" s="114">
        <v>0</v>
      </c>
      <c r="J122" s="114">
        <f>ROUND(H122,3) * I122</f>
        <v>0</v>
      </c>
      <c r="K122" s="116"/>
      <c r="L122" s="117">
        <f>ROUND(ROUND(H122,3) * ROUND(K122,2),2)</f>
        <v>0</v>
      </c>
    </row>
    <row r="123" spans="1:12" x14ac:dyDescent="0.2">
      <c r="A123" s="124" t="s">
        <v>49</v>
      </c>
      <c r="B123" s="125"/>
      <c r="F123" s="119" t="s">
        <v>17</v>
      </c>
      <c r="L123" s="127"/>
    </row>
    <row r="124" spans="1:12" x14ac:dyDescent="0.2">
      <c r="A124" s="107" t="s">
        <v>51</v>
      </c>
      <c r="B124" s="125"/>
      <c r="F124" s="122" t="s">
        <v>446</v>
      </c>
      <c r="L124" s="127"/>
    </row>
    <row r="125" spans="1:12" ht="12" thickBot="1" x14ac:dyDescent="0.25">
      <c r="A125" s="124" t="s">
        <v>53</v>
      </c>
      <c r="B125" s="125"/>
      <c r="F125" s="123" t="s">
        <v>784</v>
      </c>
      <c r="L125" s="127"/>
    </row>
    <row r="126" spans="1:12" ht="11.25" customHeight="1" thickBot="1" x14ac:dyDescent="0.25">
      <c r="A126" s="124" t="s">
        <v>44</v>
      </c>
      <c r="B126" s="113">
        <v>27</v>
      </c>
      <c r="C126" s="114" t="s">
        <v>795</v>
      </c>
      <c r="D126" s="115" t="s">
        <v>60</v>
      </c>
      <c r="E126" s="115" t="s">
        <v>46</v>
      </c>
      <c r="F126" s="115" t="s">
        <v>796</v>
      </c>
      <c r="G126" s="114" t="s">
        <v>775</v>
      </c>
      <c r="H126" s="114">
        <f>ROUND(6,3)</f>
        <v>6</v>
      </c>
      <c r="I126" s="114">
        <v>0</v>
      </c>
      <c r="J126" s="114">
        <f>ROUND(H126,3) * I126</f>
        <v>0</v>
      </c>
      <c r="K126" s="116"/>
      <c r="L126" s="117">
        <f>ROUND(ROUND(H126,3) * ROUND(K126,2),2)</f>
        <v>0</v>
      </c>
    </row>
    <row r="127" spans="1:12" x14ac:dyDescent="0.2">
      <c r="A127" s="124" t="s">
        <v>49</v>
      </c>
      <c r="B127" s="125"/>
      <c r="F127" s="119" t="s">
        <v>17</v>
      </c>
      <c r="L127" s="127"/>
    </row>
    <row r="128" spans="1:12" x14ac:dyDescent="0.2">
      <c r="A128" s="107" t="s">
        <v>51</v>
      </c>
      <c r="B128" s="125"/>
      <c r="F128" s="122" t="s">
        <v>797</v>
      </c>
      <c r="L128" s="127"/>
    </row>
    <row r="129" spans="1:12" ht="23.25" thickBot="1" x14ac:dyDescent="0.25">
      <c r="A129" s="124" t="s">
        <v>53</v>
      </c>
      <c r="B129" s="125"/>
      <c r="F129" s="123" t="s">
        <v>788</v>
      </c>
      <c r="L129" s="127"/>
    </row>
    <row r="130" spans="1:12" ht="11.25" customHeight="1" thickBot="1" x14ac:dyDescent="0.25">
      <c r="A130" s="124" t="s">
        <v>44</v>
      </c>
      <c r="B130" s="113">
        <v>28</v>
      </c>
      <c r="C130" s="114" t="s">
        <v>798</v>
      </c>
      <c r="D130" s="115" t="s">
        <v>60</v>
      </c>
      <c r="E130" s="115" t="s">
        <v>46</v>
      </c>
      <c r="F130" s="115" t="s">
        <v>799</v>
      </c>
      <c r="G130" s="114" t="s">
        <v>81</v>
      </c>
      <c r="H130" s="114">
        <f>ROUND(9,3)</f>
        <v>9</v>
      </c>
      <c r="I130" s="114">
        <v>0</v>
      </c>
      <c r="J130" s="114">
        <f>ROUND(H130,3) * I130</f>
        <v>0</v>
      </c>
      <c r="K130" s="116"/>
      <c r="L130" s="117">
        <f>ROUND(ROUND(H130,3) * ROUND(K130,2),2)</f>
        <v>0</v>
      </c>
    </row>
    <row r="131" spans="1:12" ht="22.5" x14ac:dyDescent="0.2">
      <c r="A131" s="124" t="s">
        <v>49</v>
      </c>
      <c r="B131" s="125"/>
      <c r="F131" s="119" t="s">
        <v>800</v>
      </c>
      <c r="L131" s="127"/>
    </row>
    <row r="132" spans="1:12" x14ac:dyDescent="0.2">
      <c r="A132" s="107" t="s">
        <v>51</v>
      </c>
      <c r="B132" s="125"/>
      <c r="F132" s="122" t="s">
        <v>801</v>
      </c>
      <c r="L132" s="127"/>
    </row>
    <row r="133" spans="1:12" ht="214.5" thickBot="1" x14ac:dyDescent="0.25">
      <c r="A133" s="124" t="s">
        <v>53</v>
      </c>
      <c r="B133" s="125"/>
      <c r="F133" s="123" t="s">
        <v>608</v>
      </c>
      <c r="L133" s="127"/>
    </row>
    <row r="134" spans="1:12" ht="11.25" customHeight="1" thickBot="1" x14ac:dyDescent="0.25">
      <c r="A134" s="124" t="s">
        <v>44</v>
      </c>
      <c r="B134" s="113">
        <v>29</v>
      </c>
      <c r="C134" s="114" t="s">
        <v>802</v>
      </c>
      <c r="D134" s="115" t="s">
        <v>60</v>
      </c>
      <c r="E134" s="115" t="s">
        <v>46</v>
      </c>
      <c r="F134" s="115" t="s">
        <v>607</v>
      </c>
      <c r="G134" s="114" t="s">
        <v>81</v>
      </c>
      <c r="H134" s="114">
        <f>ROUND(12.6,3)</f>
        <v>12.6</v>
      </c>
      <c r="I134" s="114">
        <v>0</v>
      </c>
      <c r="J134" s="114">
        <f>ROUND(H134,3) * I134</f>
        <v>0</v>
      </c>
      <c r="K134" s="116"/>
      <c r="L134" s="117">
        <f>ROUND(ROUND(H134,3) * ROUND(K134,2),2)</f>
        <v>0</v>
      </c>
    </row>
    <row r="135" spans="1:12" ht="22.5" x14ac:dyDescent="0.2">
      <c r="A135" s="124" t="s">
        <v>49</v>
      </c>
      <c r="B135" s="125"/>
      <c r="F135" s="119" t="s">
        <v>800</v>
      </c>
      <c r="L135" s="127"/>
    </row>
    <row r="136" spans="1:12" x14ac:dyDescent="0.2">
      <c r="A136" s="107" t="s">
        <v>51</v>
      </c>
      <c r="B136" s="125"/>
      <c r="F136" s="122" t="s">
        <v>803</v>
      </c>
      <c r="L136" s="127"/>
    </row>
    <row r="137" spans="1:12" ht="214.5" thickBot="1" x14ac:dyDescent="0.25">
      <c r="A137" s="124" t="s">
        <v>53</v>
      </c>
      <c r="B137" s="125"/>
      <c r="F137" s="123" t="s">
        <v>608</v>
      </c>
      <c r="L137" s="127"/>
    </row>
    <row r="138" spans="1:12" ht="11.25" customHeight="1" thickBot="1" x14ac:dyDescent="0.25">
      <c r="A138" s="124" t="s">
        <v>44</v>
      </c>
      <c r="B138" s="113">
        <v>30</v>
      </c>
      <c r="C138" s="114" t="s">
        <v>804</v>
      </c>
      <c r="D138" s="115" t="s">
        <v>60</v>
      </c>
      <c r="E138" s="115" t="s">
        <v>46</v>
      </c>
      <c r="F138" s="115" t="s">
        <v>805</v>
      </c>
      <c r="G138" s="114" t="s">
        <v>81</v>
      </c>
      <c r="H138" s="114">
        <f>ROUND(118,3)</f>
        <v>118</v>
      </c>
      <c r="I138" s="114">
        <v>0</v>
      </c>
      <c r="J138" s="114">
        <f>ROUND(H138,3) * I138</f>
        <v>0</v>
      </c>
      <c r="K138" s="116"/>
      <c r="L138" s="117">
        <f>ROUND(ROUND(H138,3) * ROUND(K138,2),2)</f>
        <v>0</v>
      </c>
    </row>
    <row r="139" spans="1:12" ht="22.5" x14ac:dyDescent="0.2">
      <c r="A139" s="124" t="s">
        <v>49</v>
      </c>
      <c r="B139" s="125"/>
      <c r="F139" s="119" t="s">
        <v>806</v>
      </c>
      <c r="L139" s="127"/>
    </row>
    <row r="140" spans="1:12" x14ac:dyDescent="0.2">
      <c r="A140" s="107" t="s">
        <v>51</v>
      </c>
      <c r="B140" s="125"/>
      <c r="F140" s="122" t="s">
        <v>807</v>
      </c>
      <c r="L140" s="127"/>
    </row>
    <row r="141" spans="1:12" ht="23.25" thickBot="1" x14ac:dyDescent="0.25">
      <c r="A141" s="124" t="s">
        <v>53</v>
      </c>
      <c r="B141" s="125"/>
      <c r="F141" s="123" t="s">
        <v>808</v>
      </c>
      <c r="L141" s="127"/>
    </row>
    <row r="142" spans="1:12" ht="11.25" customHeight="1" thickBot="1" x14ac:dyDescent="0.25">
      <c r="A142" s="124" t="s">
        <v>44</v>
      </c>
      <c r="B142" s="113">
        <v>31</v>
      </c>
      <c r="C142" s="114" t="s">
        <v>609</v>
      </c>
      <c r="D142" s="115" t="s">
        <v>60</v>
      </c>
      <c r="E142" s="115" t="s">
        <v>46</v>
      </c>
      <c r="F142" s="115" t="s">
        <v>610</v>
      </c>
      <c r="G142" s="114" t="s">
        <v>81</v>
      </c>
      <c r="H142" s="114">
        <f>ROUND(21.6,3)</f>
        <v>21.6</v>
      </c>
      <c r="I142" s="114">
        <v>0</v>
      </c>
      <c r="J142" s="114">
        <f>ROUND(H142,3) * I142</f>
        <v>0</v>
      </c>
      <c r="K142" s="116"/>
      <c r="L142" s="117">
        <f>ROUND(ROUND(H142,3) * ROUND(K142,2),2)</f>
        <v>0</v>
      </c>
    </row>
    <row r="143" spans="1:12" x14ac:dyDescent="0.2">
      <c r="A143" s="124" t="s">
        <v>49</v>
      </c>
      <c r="B143" s="125"/>
      <c r="F143" s="119" t="s">
        <v>17</v>
      </c>
      <c r="L143" s="127"/>
    </row>
    <row r="144" spans="1:12" ht="22.5" x14ac:dyDescent="0.2">
      <c r="A144" s="107" t="s">
        <v>51</v>
      </c>
      <c r="B144" s="125"/>
      <c r="F144" s="122" t="s">
        <v>809</v>
      </c>
      <c r="L144" s="127"/>
    </row>
    <row r="145" spans="1:12" ht="135.75" thickBot="1" x14ac:dyDescent="0.25">
      <c r="A145" s="124" t="s">
        <v>53</v>
      </c>
      <c r="B145" s="125"/>
      <c r="F145" s="123" t="s">
        <v>440</v>
      </c>
      <c r="L145" s="127"/>
    </row>
    <row r="146" spans="1:12" ht="11.25" customHeight="1" thickBot="1" x14ac:dyDescent="0.25">
      <c r="A146" s="124" t="s">
        <v>44</v>
      </c>
      <c r="B146" s="113">
        <v>32</v>
      </c>
      <c r="C146" s="114" t="s">
        <v>612</v>
      </c>
      <c r="D146" s="115" t="s">
        <v>60</v>
      </c>
      <c r="E146" s="115" t="s">
        <v>46</v>
      </c>
      <c r="F146" s="115" t="s">
        <v>613</v>
      </c>
      <c r="G146" s="114" t="s">
        <v>504</v>
      </c>
      <c r="H146" s="114">
        <f>ROUND(252.72,3)</f>
        <v>252.72</v>
      </c>
      <c r="I146" s="114">
        <v>0</v>
      </c>
      <c r="J146" s="114">
        <f>ROUND(H146,3) * I146</f>
        <v>0</v>
      </c>
      <c r="K146" s="116"/>
      <c r="L146" s="117">
        <f>ROUND(ROUND(H146,3) * ROUND(K146,2),2)</f>
        <v>0</v>
      </c>
    </row>
    <row r="147" spans="1:12" x14ac:dyDescent="0.2">
      <c r="A147" s="124" t="s">
        <v>49</v>
      </c>
      <c r="B147" s="125"/>
      <c r="F147" s="119" t="s">
        <v>810</v>
      </c>
      <c r="L147" s="127"/>
    </row>
    <row r="148" spans="1:12" ht="33.75" x14ac:dyDescent="0.2">
      <c r="A148" s="107" t="s">
        <v>51</v>
      </c>
      <c r="B148" s="125"/>
      <c r="F148" s="122" t="s">
        <v>811</v>
      </c>
      <c r="L148" s="127"/>
    </row>
    <row r="149" spans="1:12" ht="102" thickBot="1" x14ac:dyDescent="0.25">
      <c r="A149" s="124" t="s">
        <v>53</v>
      </c>
      <c r="B149" s="125"/>
      <c r="F149" s="123" t="s">
        <v>615</v>
      </c>
      <c r="L149" s="127"/>
    </row>
    <row r="150" spans="1:12" ht="13.5" customHeight="1" thickBot="1" x14ac:dyDescent="0.25">
      <c r="B150" s="128" t="s">
        <v>58</v>
      </c>
      <c r="C150" s="129" t="s">
        <v>59</v>
      </c>
      <c r="D150" s="130"/>
      <c r="E150" s="130"/>
      <c r="F150" s="130" t="s">
        <v>435</v>
      </c>
      <c r="G150" s="130"/>
      <c r="H150" s="130"/>
      <c r="I150" s="130"/>
      <c r="J150" s="130"/>
      <c r="K150" s="130"/>
      <c r="L150" s="131">
        <f>SUM(L86:L149)</f>
        <v>0</v>
      </c>
    </row>
    <row r="151" spans="1:12" ht="20.100000000000001" customHeight="1" thickBot="1" x14ac:dyDescent="0.25">
      <c r="A151" s="124" t="s">
        <v>40</v>
      </c>
      <c r="B151" s="132" t="s">
        <v>41</v>
      </c>
      <c r="C151" s="109" t="s">
        <v>441</v>
      </c>
      <c r="D151" s="110"/>
      <c r="E151" s="110"/>
      <c r="F151" s="111" t="s">
        <v>442</v>
      </c>
      <c r="G151" s="110"/>
      <c r="H151" s="110"/>
      <c r="I151" s="110"/>
      <c r="J151" s="110"/>
      <c r="K151" s="110"/>
      <c r="L151" s="112"/>
    </row>
    <row r="152" spans="1:12" ht="11.25" customHeight="1" thickBot="1" x14ac:dyDescent="0.25">
      <c r="A152" s="124" t="s">
        <v>44</v>
      </c>
      <c r="B152" s="113">
        <v>33</v>
      </c>
      <c r="C152" s="114" t="s">
        <v>812</v>
      </c>
      <c r="D152" s="115" t="s">
        <v>508</v>
      </c>
      <c r="E152" s="115"/>
      <c r="F152" s="115" t="s">
        <v>813</v>
      </c>
      <c r="G152" s="114" t="s">
        <v>510</v>
      </c>
      <c r="H152" s="114">
        <f>ROUND(20.19,3)</f>
        <v>20.190000000000001</v>
      </c>
      <c r="I152" s="114">
        <v>0</v>
      </c>
      <c r="J152" s="114">
        <f>ROUND(H152,3) * I152</f>
        <v>0</v>
      </c>
      <c r="K152" s="116"/>
      <c r="L152" s="117">
        <f>ROUND(ROUND(H152,3) * ROUND(K152,2),2)</f>
        <v>0</v>
      </c>
    </row>
    <row r="153" spans="1:12" x14ac:dyDescent="0.2">
      <c r="A153" s="124" t="s">
        <v>49</v>
      </c>
      <c r="B153" s="125"/>
      <c r="F153" s="119" t="s">
        <v>511</v>
      </c>
      <c r="L153" s="127"/>
    </row>
    <row r="154" spans="1:12" x14ac:dyDescent="0.2">
      <c r="A154" s="107" t="s">
        <v>51</v>
      </c>
      <c r="B154" s="125"/>
      <c r="F154" s="122" t="s">
        <v>814</v>
      </c>
      <c r="L154" s="127"/>
    </row>
    <row r="155" spans="1:12" ht="102" thickBot="1" x14ac:dyDescent="0.25">
      <c r="A155" s="124" t="s">
        <v>53</v>
      </c>
      <c r="B155" s="125"/>
      <c r="F155" s="123" t="s">
        <v>513</v>
      </c>
      <c r="L155" s="127"/>
    </row>
    <row r="156" spans="1:12" ht="11.25" customHeight="1" thickBot="1" x14ac:dyDescent="0.25">
      <c r="A156" s="124" t="s">
        <v>44</v>
      </c>
      <c r="B156" s="113">
        <v>34</v>
      </c>
      <c r="C156" s="114" t="s">
        <v>815</v>
      </c>
      <c r="D156" s="115" t="s">
        <v>60</v>
      </c>
      <c r="E156" s="115" t="s">
        <v>46</v>
      </c>
      <c r="F156" s="115" t="s">
        <v>444</v>
      </c>
      <c r="G156" s="114" t="s">
        <v>816</v>
      </c>
      <c r="H156" s="114">
        <f>ROUND(96,3)</f>
        <v>96</v>
      </c>
      <c r="I156" s="114">
        <v>0</v>
      </c>
      <c r="J156" s="114">
        <f>ROUND(H156,3) * I156</f>
        <v>0</v>
      </c>
      <c r="K156" s="116"/>
      <c r="L156" s="117">
        <f>ROUND(ROUND(H156,3) * ROUND(K156,2),2)</f>
        <v>0</v>
      </c>
    </row>
    <row r="157" spans="1:12" ht="22.5" x14ac:dyDescent="0.2">
      <c r="A157" s="124" t="s">
        <v>49</v>
      </c>
      <c r="B157" s="125"/>
      <c r="F157" s="119" t="s">
        <v>817</v>
      </c>
      <c r="L157" s="127"/>
    </row>
    <row r="158" spans="1:12" x14ac:dyDescent="0.2">
      <c r="A158" s="107" t="s">
        <v>51</v>
      </c>
      <c r="B158" s="125"/>
      <c r="F158" s="122" t="s">
        <v>818</v>
      </c>
      <c r="L158" s="127"/>
    </row>
    <row r="159" spans="1:12" ht="12" thickBot="1" x14ac:dyDescent="0.25">
      <c r="A159" s="124" t="s">
        <v>53</v>
      </c>
      <c r="B159" s="125"/>
      <c r="F159" s="123" t="s">
        <v>447</v>
      </c>
      <c r="L159" s="127"/>
    </row>
    <row r="160" spans="1:12" ht="11.25" customHeight="1" thickBot="1" x14ac:dyDescent="0.25">
      <c r="A160" s="124" t="s">
        <v>44</v>
      </c>
      <c r="B160" s="113">
        <v>35</v>
      </c>
      <c r="C160" s="114" t="s">
        <v>819</v>
      </c>
      <c r="D160" s="115" t="s">
        <v>60</v>
      </c>
      <c r="E160" s="115" t="s">
        <v>46</v>
      </c>
      <c r="F160" s="115" t="s">
        <v>820</v>
      </c>
      <c r="G160" s="114" t="s">
        <v>48</v>
      </c>
      <c r="H160" s="114">
        <f>ROUND(1,3)</f>
        <v>1</v>
      </c>
      <c r="I160" s="114">
        <v>0</v>
      </c>
      <c r="J160" s="114">
        <f>ROUND(H160,3) * I160</f>
        <v>0</v>
      </c>
      <c r="K160" s="116"/>
      <c r="L160" s="117">
        <f>ROUND(ROUND(H160,3) * ROUND(K160,2),2)</f>
        <v>0</v>
      </c>
    </row>
    <row r="161" spans="1:12" ht="33.75" x14ac:dyDescent="0.2">
      <c r="A161" s="124" t="s">
        <v>49</v>
      </c>
      <c r="B161" s="125"/>
      <c r="F161" s="119" t="s">
        <v>821</v>
      </c>
      <c r="L161" s="127"/>
    </row>
    <row r="162" spans="1:12" x14ac:dyDescent="0.2">
      <c r="A162" s="107" t="s">
        <v>51</v>
      </c>
      <c r="B162" s="125"/>
      <c r="F162" s="122" t="s">
        <v>446</v>
      </c>
      <c r="L162" s="127"/>
    </row>
    <row r="163" spans="1:12" ht="12" thickBot="1" x14ac:dyDescent="0.25">
      <c r="A163" s="124" t="s">
        <v>53</v>
      </c>
      <c r="B163" s="125"/>
      <c r="F163" s="123" t="s">
        <v>447</v>
      </c>
      <c r="L163" s="127"/>
    </row>
    <row r="164" spans="1:12" ht="13.5" customHeight="1" thickBot="1" x14ac:dyDescent="0.25">
      <c r="B164" s="128" t="s">
        <v>58</v>
      </c>
      <c r="C164" s="129" t="s">
        <v>59</v>
      </c>
      <c r="D164" s="130"/>
      <c r="E164" s="130"/>
      <c r="F164" s="130" t="s">
        <v>442</v>
      </c>
      <c r="G164" s="130"/>
      <c r="H164" s="130"/>
      <c r="I164" s="130"/>
      <c r="J164" s="130"/>
      <c r="K164" s="130"/>
      <c r="L164" s="131">
        <f>SUM(L152:L163)</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82" priority="1">
      <formula>$E$5="Ostatní"</formula>
    </cfRule>
    <cfRule type="expression" dxfId="181"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B7CF86B2-7FC3-4159-BCCD-370CB5606D05}"/>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B8810E1F-2D76-494B-88EA-4CBFDF886E63}">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8250AA6D-323C-4AC4-8F7F-3B633F7C95C4}">
      <formula1>42370</formula1>
      <formula2>55153</formula2>
    </dataValidation>
    <dataValidation allowBlank="1" showInputMessage="1" showErrorMessage="1" promptTitle="S-kód" prompt="Číslo pod kterým je stavba evidovaná v systému SŽDC." sqref="K6" xr:uid="{446F8B8A-657A-45B2-B754-DE56437E18B1}"/>
    <dataValidation type="date" allowBlank="1" showInputMessage="1" showErrorMessage="1" errorTitle="Špatný datum" error="Datum musí být v rozmezí_x000a_od 1.1.2016_x000a_do 31.12.2050" promptTitle="Vložit datum" prompt="ve formátu: dd.mm.rrrr" sqref="K8" xr:uid="{70FE4D78-6CD9-4131-9E49-62A6FB56EB6F}">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3ADC020D-8699-4284-8C6C-CBFB4E507629}">
      <formula1>"801,802,803,811,812, 813, 814,815, 817, 821,822, 823,824,825,826,827,828,831,832,833,838,839"</formula1>
    </dataValidation>
    <dataValidation type="list" allowBlank="1" showInputMessage="1" showErrorMessage="1" promptTitle="Výběr stádia dle seznamu:" prompt="Stádium 3_x000a_Stádium 2" sqref="E5" xr:uid="{95A33A53-BA4C-439B-A58C-438EFCBFC9B3}">
      <formula1>"Stádium 2,Stádium 3"</formula1>
    </dataValidation>
    <dataValidation type="date" allowBlank="1" showInputMessage="1" showErrorMessage="1" sqref="L8" xr:uid="{F5921147-8671-40DA-AE17-68901D147442}">
      <formula1>42370</formula1>
      <formula2>55153</formula2>
    </dataValidation>
    <dataValidation type="list" allowBlank="1" showInputMessage="1" showErrorMessage="1" sqref="E6" xr:uid="{AB1F9BAB-90C7-4071-A543-D8DAFE3B39C7}">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82A3C-8FFC-42D1-A60A-5459B54AF861}">
  <sheetPr codeName="List14">
    <pageSetUpPr fitToPage="1"/>
  </sheetPr>
  <dimension ref="A1:O122"/>
  <sheetViews>
    <sheetView showGridLines="0" topLeftCell="B1" zoomScale="85" zoomScaleNormal="85" zoomScaleSheetLayoutView="85" workbookViewId="0">
      <pane ySplit="12" topLeftCell="A112" activePane="bottomLeft" state="frozen"/>
      <selection activeCell="B1" sqref="B1"/>
      <selection pane="bottomLeft" activeCell="K14" sqref="K14:K122"/>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822</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822</v>
      </c>
      <c r="E3" s="79"/>
      <c r="F3" s="80" t="s">
        <v>823</v>
      </c>
      <c r="G3" s="81"/>
      <c r="H3" s="82"/>
      <c r="I3" s="83"/>
      <c r="J3" s="84"/>
      <c r="K3" s="248"/>
      <c r="L3" s="249"/>
    </row>
    <row r="4" spans="1:15" s="67" customFormat="1" ht="18" customHeight="1" thickTop="1" x14ac:dyDescent="0.25">
      <c r="B4" s="256" t="s">
        <v>8</v>
      </c>
      <c r="C4" s="245"/>
      <c r="D4" s="253"/>
      <c r="E4" s="85" t="s">
        <v>824</v>
      </c>
      <c r="F4" s="86" t="str">
        <f>INDEX('[14]Kategorie monitoringu'!A1:B34,MATCH(E4,'[14]Kategorie monitoringu'!A1:A34,0),2)</f>
        <v xml:space="preserve"> Mosty, propustky, zdi</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60</v>
      </c>
      <c r="D13" s="110"/>
      <c r="E13" s="110"/>
      <c r="F13" s="111" t="s">
        <v>61</v>
      </c>
      <c r="G13" s="110"/>
      <c r="H13" s="110"/>
      <c r="I13" s="110"/>
      <c r="J13" s="110"/>
      <c r="K13" s="110"/>
      <c r="L13" s="112"/>
    </row>
    <row r="14" spans="1:15" s="107" customFormat="1" ht="11.25" customHeight="1" thickBot="1" x14ac:dyDescent="0.3">
      <c r="A14" s="107" t="s">
        <v>44</v>
      </c>
      <c r="B14" s="113">
        <v>1</v>
      </c>
      <c r="C14" s="114" t="s">
        <v>697</v>
      </c>
      <c r="D14" s="115" t="s">
        <v>60</v>
      </c>
      <c r="E14" s="115" t="s">
        <v>46</v>
      </c>
      <c r="F14" s="115" t="s">
        <v>698</v>
      </c>
      <c r="G14" s="114" t="s">
        <v>81</v>
      </c>
      <c r="H14" s="114">
        <f>ROUND(80,3)</f>
        <v>80</v>
      </c>
      <c r="I14" s="114">
        <v>0</v>
      </c>
      <c r="J14" s="114">
        <f>ROUND(H14,3) * I14</f>
        <v>0</v>
      </c>
      <c r="K14" s="116"/>
      <c r="L14" s="117">
        <f>ROUND(ROUND(H14,3) * ROUND(K14,2),2)</f>
        <v>0</v>
      </c>
    </row>
    <row r="15" spans="1:15" s="107" customFormat="1" x14ac:dyDescent="0.25">
      <c r="A15" s="107" t="s">
        <v>49</v>
      </c>
      <c r="B15" s="118"/>
      <c r="F15" s="119" t="s">
        <v>17</v>
      </c>
      <c r="G15" s="120"/>
      <c r="H15" s="120"/>
      <c r="I15" s="120"/>
      <c r="J15" s="120"/>
      <c r="K15" s="120"/>
      <c r="L15" s="121"/>
    </row>
    <row r="16" spans="1:15" s="107" customFormat="1" x14ac:dyDescent="0.25">
      <c r="A16" s="107" t="s">
        <v>51</v>
      </c>
      <c r="B16" s="118"/>
      <c r="F16" s="122" t="s">
        <v>825</v>
      </c>
      <c r="G16" s="120"/>
      <c r="H16" s="120"/>
      <c r="I16" s="120"/>
      <c r="J16" s="120"/>
      <c r="K16" s="120"/>
      <c r="L16" s="121"/>
    </row>
    <row r="17" spans="1:12" s="107" customFormat="1" ht="34.5" thickBot="1" x14ac:dyDescent="0.3">
      <c r="A17" s="107" t="s">
        <v>53</v>
      </c>
      <c r="B17" s="118"/>
      <c r="F17" s="123" t="s">
        <v>701</v>
      </c>
      <c r="G17" s="120"/>
      <c r="H17" s="120"/>
      <c r="I17" s="120"/>
      <c r="J17" s="120"/>
      <c r="K17" s="120"/>
      <c r="L17" s="121"/>
    </row>
    <row r="18" spans="1:12" ht="11.25" customHeight="1" thickBot="1" x14ac:dyDescent="0.25">
      <c r="A18" s="124" t="s">
        <v>44</v>
      </c>
      <c r="B18" s="113">
        <v>2</v>
      </c>
      <c r="C18" s="114" t="s">
        <v>826</v>
      </c>
      <c r="D18" s="115" t="s">
        <v>60</v>
      </c>
      <c r="E18" s="115" t="s">
        <v>46</v>
      </c>
      <c r="F18" s="115" t="s">
        <v>827</v>
      </c>
      <c r="G18" s="114" t="s">
        <v>81</v>
      </c>
      <c r="H18" s="114">
        <f>ROUND(100,3)</f>
        <v>100</v>
      </c>
      <c r="I18" s="114">
        <v>0</v>
      </c>
      <c r="J18" s="114">
        <f>ROUND(H18,3) * I18</f>
        <v>0</v>
      </c>
      <c r="K18" s="116"/>
      <c r="L18" s="117">
        <f>ROUND(ROUND(H18,3) * ROUND(K18,2),2)</f>
        <v>0</v>
      </c>
    </row>
    <row r="19" spans="1:12" x14ac:dyDescent="0.2">
      <c r="A19" s="124" t="s">
        <v>49</v>
      </c>
      <c r="B19" s="125"/>
      <c r="F19" s="119" t="s">
        <v>17</v>
      </c>
      <c r="L19" s="127"/>
    </row>
    <row r="20" spans="1:12" x14ac:dyDescent="0.2">
      <c r="A20" s="107" t="s">
        <v>51</v>
      </c>
      <c r="B20" s="125"/>
      <c r="F20" s="122" t="s">
        <v>828</v>
      </c>
      <c r="L20" s="127"/>
    </row>
    <row r="21" spans="1:12" ht="12" thickBot="1" x14ac:dyDescent="0.25">
      <c r="A21" s="124" t="s">
        <v>53</v>
      </c>
      <c r="B21" s="125"/>
      <c r="F21" s="123" t="s">
        <v>829</v>
      </c>
      <c r="L21" s="127"/>
    </row>
    <row r="22" spans="1:12" ht="11.25" customHeight="1" thickBot="1" x14ac:dyDescent="0.25">
      <c r="A22" s="124" t="s">
        <v>44</v>
      </c>
      <c r="B22" s="113">
        <v>3</v>
      </c>
      <c r="C22" s="114" t="s">
        <v>830</v>
      </c>
      <c r="D22" s="115" t="s">
        <v>60</v>
      </c>
      <c r="E22" s="115" t="s">
        <v>46</v>
      </c>
      <c r="F22" s="115" t="s">
        <v>831</v>
      </c>
      <c r="G22" s="114" t="s">
        <v>214</v>
      </c>
      <c r="H22" s="114">
        <f>ROUND(150,3)</f>
        <v>150</v>
      </c>
      <c r="I22" s="114">
        <v>0</v>
      </c>
      <c r="J22" s="114">
        <f>ROUND(H22,3) * I22</f>
        <v>0</v>
      </c>
      <c r="K22" s="116"/>
      <c r="L22" s="117">
        <f>ROUND(ROUND(H22,3) * ROUND(K22,2),2)</f>
        <v>0</v>
      </c>
    </row>
    <row r="23" spans="1:12" x14ac:dyDescent="0.2">
      <c r="A23" s="124" t="s">
        <v>49</v>
      </c>
      <c r="B23" s="125"/>
      <c r="F23" s="119" t="s">
        <v>17</v>
      </c>
      <c r="L23" s="127"/>
    </row>
    <row r="24" spans="1:12" x14ac:dyDescent="0.2">
      <c r="A24" s="107" t="s">
        <v>51</v>
      </c>
      <c r="B24" s="125"/>
      <c r="F24" s="122" t="s">
        <v>832</v>
      </c>
      <c r="L24" s="127"/>
    </row>
    <row r="25" spans="1:12" ht="23.25" thickBot="1" x14ac:dyDescent="0.25">
      <c r="A25" s="124" t="s">
        <v>53</v>
      </c>
      <c r="B25" s="125"/>
      <c r="F25" s="123" t="s">
        <v>833</v>
      </c>
      <c r="L25" s="127"/>
    </row>
    <row r="26" spans="1:12" ht="11.25" customHeight="1" thickBot="1" x14ac:dyDescent="0.25">
      <c r="A26" s="124" t="s">
        <v>44</v>
      </c>
      <c r="B26" s="113">
        <v>4</v>
      </c>
      <c r="C26" s="114" t="s">
        <v>834</v>
      </c>
      <c r="D26" s="115" t="s">
        <v>60</v>
      </c>
      <c r="E26" s="115" t="s">
        <v>46</v>
      </c>
      <c r="F26" s="115" t="s">
        <v>835</v>
      </c>
      <c r="G26" s="114" t="s">
        <v>64</v>
      </c>
      <c r="H26" s="114">
        <f>ROUND(180,3)</f>
        <v>180</v>
      </c>
      <c r="I26" s="114">
        <v>0</v>
      </c>
      <c r="J26" s="114">
        <f>ROUND(H26,3) * I26</f>
        <v>0</v>
      </c>
      <c r="K26" s="116"/>
      <c r="L26" s="117">
        <f>ROUND(ROUND(H26,3) * ROUND(K26,2),2)</f>
        <v>0</v>
      </c>
    </row>
    <row r="27" spans="1:12" x14ac:dyDescent="0.2">
      <c r="A27" s="124" t="s">
        <v>49</v>
      </c>
      <c r="B27" s="125"/>
      <c r="F27" s="119" t="s">
        <v>17</v>
      </c>
      <c r="L27" s="127"/>
    </row>
    <row r="28" spans="1:12" x14ac:dyDescent="0.2">
      <c r="A28" s="107" t="s">
        <v>51</v>
      </c>
      <c r="B28" s="125"/>
      <c r="F28" s="122" t="s">
        <v>836</v>
      </c>
      <c r="L28" s="127"/>
    </row>
    <row r="29" spans="1:12" ht="23.25" thickBot="1" x14ac:dyDescent="0.25">
      <c r="A29" s="124" t="s">
        <v>53</v>
      </c>
      <c r="B29" s="125"/>
      <c r="F29" s="123" t="s">
        <v>837</v>
      </c>
      <c r="L29" s="127"/>
    </row>
    <row r="30" spans="1:12" ht="11.25" customHeight="1" thickBot="1" x14ac:dyDescent="0.25">
      <c r="A30" s="124" t="s">
        <v>44</v>
      </c>
      <c r="B30" s="113">
        <v>5</v>
      </c>
      <c r="C30" s="114" t="s">
        <v>838</v>
      </c>
      <c r="D30" s="115" t="s">
        <v>60</v>
      </c>
      <c r="E30" s="115" t="s">
        <v>46</v>
      </c>
      <c r="F30" s="115" t="s">
        <v>839</v>
      </c>
      <c r="G30" s="114" t="s">
        <v>64</v>
      </c>
      <c r="H30" s="114">
        <f>ROUND(58,3)</f>
        <v>58</v>
      </c>
      <c r="I30" s="114">
        <v>0</v>
      </c>
      <c r="J30" s="114">
        <f>ROUND(H30,3) * I30</f>
        <v>0</v>
      </c>
      <c r="K30" s="116"/>
      <c r="L30" s="117">
        <f>ROUND(ROUND(H30,3) * ROUND(K30,2),2)</f>
        <v>0</v>
      </c>
    </row>
    <row r="31" spans="1:12" x14ac:dyDescent="0.2">
      <c r="A31" s="124" t="s">
        <v>49</v>
      </c>
      <c r="B31" s="125"/>
      <c r="F31" s="119" t="s">
        <v>17</v>
      </c>
      <c r="L31" s="127"/>
    </row>
    <row r="32" spans="1:12" x14ac:dyDescent="0.2">
      <c r="A32" s="107" t="s">
        <v>51</v>
      </c>
      <c r="B32" s="125"/>
      <c r="F32" s="122" t="s">
        <v>840</v>
      </c>
      <c r="L32" s="127"/>
    </row>
    <row r="33" spans="1:12" ht="304.5" thickBot="1" x14ac:dyDescent="0.25">
      <c r="A33" s="124" t="s">
        <v>53</v>
      </c>
      <c r="B33" s="125"/>
      <c r="F33" s="123" t="s">
        <v>841</v>
      </c>
      <c r="L33" s="127"/>
    </row>
    <row r="34" spans="1:12" ht="11.25" customHeight="1" thickBot="1" x14ac:dyDescent="0.25">
      <c r="A34" s="124" t="s">
        <v>44</v>
      </c>
      <c r="B34" s="113">
        <v>6</v>
      </c>
      <c r="C34" s="114" t="s">
        <v>842</v>
      </c>
      <c r="D34" s="115" t="s">
        <v>60</v>
      </c>
      <c r="E34" s="115" t="s">
        <v>46</v>
      </c>
      <c r="F34" s="115" t="s">
        <v>843</v>
      </c>
      <c r="G34" s="114" t="s">
        <v>64</v>
      </c>
      <c r="H34" s="114">
        <f>ROUND(115.4,3)</f>
        <v>115.4</v>
      </c>
      <c r="I34" s="114">
        <v>0</v>
      </c>
      <c r="J34" s="114">
        <f>ROUND(H34,3) * I34</f>
        <v>0</v>
      </c>
      <c r="K34" s="116"/>
      <c r="L34" s="117">
        <f>ROUND(ROUND(H34,3) * ROUND(K34,2),2)</f>
        <v>0</v>
      </c>
    </row>
    <row r="35" spans="1:12" x14ac:dyDescent="0.2">
      <c r="A35" s="124" t="s">
        <v>49</v>
      </c>
      <c r="B35" s="125"/>
      <c r="F35" s="119" t="s">
        <v>17</v>
      </c>
      <c r="L35" s="127"/>
    </row>
    <row r="36" spans="1:12" x14ac:dyDescent="0.2">
      <c r="A36" s="107" t="s">
        <v>51</v>
      </c>
      <c r="B36" s="125"/>
      <c r="F36" s="122" t="s">
        <v>844</v>
      </c>
      <c r="L36" s="127"/>
    </row>
    <row r="37" spans="1:12" ht="304.5" thickBot="1" x14ac:dyDescent="0.25">
      <c r="A37" s="124" t="s">
        <v>53</v>
      </c>
      <c r="B37" s="125"/>
      <c r="F37" s="123" t="s">
        <v>841</v>
      </c>
      <c r="L37" s="127"/>
    </row>
    <row r="38" spans="1:12" ht="11.25" customHeight="1" thickBot="1" x14ac:dyDescent="0.25">
      <c r="A38" s="124" t="s">
        <v>44</v>
      </c>
      <c r="B38" s="113">
        <v>7</v>
      </c>
      <c r="C38" s="114" t="s">
        <v>845</v>
      </c>
      <c r="D38" s="115" t="s">
        <v>60</v>
      </c>
      <c r="E38" s="115" t="s">
        <v>46</v>
      </c>
      <c r="F38" s="115" t="s">
        <v>846</v>
      </c>
      <c r="G38" s="114" t="s">
        <v>494</v>
      </c>
      <c r="H38" s="114">
        <f>ROUND(1437,3)</f>
        <v>1437</v>
      </c>
      <c r="I38" s="114">
        <v>0</v>
      </c>
      <c r="J38" s="114">
        <f>ROUND(H38,3) * I38</f>
        <v>0</v>
      </c>
      <c r="K38" s="116"/>
      <c r="L38" s="117">
        <f>ROUND(ROUND(H38,3) * ROUND(K38,2),2)</f>
        <v>0</v>
      </c>
    </row>
    <row r="39" spans="1:12" x14ac:dyDescent="0.2">
      <c r="A39" s="124" t="s">
        <v>49</v>
      </c>
      <c r="B39" s="125"/>
      <c r="F39" s="119" t="s">
        <v>17</v>
      </c>
      <c r="L39" s="127"/>
    </row>
    <row r="40" spans="1:12" x14ac:dyDescent="0.2">
      <c r="A40" s="107" t="s">
        <v>51</v>
      </c>
      <c r="B40" s="125"/>
      <c r="F40" s="122" t="s">
        <v>847</v>
      </c>
      <c r="L40" s="127"/>
    </row>
    <row r="41" spans="1:12" ht="23.25" thickBot="1" x14ac:dyDescent="0.25">
      <c r="A41" s="124" t="s">
        <v>53</v>
      </c>
      <c r="B41" s="125"/>
      <c r="F41" s="123" t="s">
        <v>848</v>
      </c>
      <c r="L41" s="127"/>
    </row>
    <row r="42" spans="1:12" ht="11.25" customHeight="1" thickBot="1" x14ac:dyDescent="0.25">
      <c r="A42" s="124" t="s">
        <v>44</v>
      </c>
      <c r="B42" s="113">
        <v>8</v>
      </c>
      <c r="C42" s="114" t="s">
        <v>849</v>
      </c>
      <c r="D42" s="115" t="s">
        <v>60</v>
      </c>
      <c r="E42" s="115" t="s">
        <v>46</v>
      </c>
      <c r="F42" s="115" t="s">
        <v>850</v>
      </c>
      <c r="G42" s="114" t="s">
        <v>64</v>
      </c>
      <c r="H42" s="114">
        <f>ROUND(29.7,3)</f>
        <v>29.7</v>
      </c>
      <c r="I42" s="114">
        <v>0</v>
      </c>
      <c r="J42" s="114">
        <f>ROUND(H42,3) * I42</f>
        <v>0</v>
      </c>
      <c r="K42" s="116"/>
      <c r="L42" s="117">
        <f>ROUND(ROUND(H42,3) * ROUND(K42,2),2)</f>
        <v>0</v>
      </c>
    </row>
    <row r="43" spans="1:12" x14ac:dyDescent="0.2">
      <c r="A43" s="124" t="s">
        <v>49</v>
      </c>
      <c r="B43" s="125"/>
      <c r="F43" s="119" t="s">
        <v>851</v>
      </c>
      <c r="L43" s="127"/>
    </row>
    <row r="44" spans="1:12" x14ac:dyDescent="0.2">
      <c r="A44" s="107" t="s">
        <v>51</v>
      </c>
      <c r="B44" s="125"/>
      <c r="F44" s="122" t="s">
        <v>852</v>
      </c>
      <c r="L44" s="127"/>
    </row>
    <row r="45" spans="1:12" ht="225.75" thickBot="1" x14ac:dyDescent="0.25">
      <c r="A45" s="124" t="s">
        <v>53</v>
      </c>
      <c r="B45" s="125"/>
      <c r="F45" s="123" t="s">
        <v>723</v>
      </c>
      <c r="L45" s="127"/>
    </row>
    <row r="46" spans="1:12" ht="11.25" customHeight="1" thickBot="1" x14ac:dyDescent="0.25">
      <c r="A46" s="124" t="s">
        <v>44</v>
      </c>
      <c r="B46" s="113">
        <v>9</v>
      </c>
      <c r="C46" s="114" t="s">
        <v>853</v>
      </c>
      <c r="D46" s="115" t="s">
        <v>60</v>
      </c>
      <c r="E46" s="115" t="s">
        <v>46</v>
      </c>
      <c r="F46" s="115" t="s">
        <v>854</v>
      </c>
      <c r="G46" s="114" t="s">
        <v>64</v>
      </c>
      <c r="H46" s="114">
        <f>ROUND(67.14,3)</f>
        <v>67.14</v>
      </c>
      <c r="I46" s="114">
        <v>0</v>
      </c>
      <c r="J46" s="114">
        <f>ROUND(H46,3) * I46</f>
        <v>0</v>
      </c>
      <c r="K46" s="116"/>
      <c r="L46" s="117">
        <f>ROUND(ROUND(H46,3) * ROUND(K46,2),2)</f>
        <v>0</v>
      </c>
    </row>
    <row r="47" spans="1:12" x14ac:dyDescent="0.2">
      <c r="A47" s="124" t="s">
        <v>49</v>
      </c>
      <c r="B47" s="125"/>
      <c r="F47" s="119" t="s">
        <v>17</v>
      </c>
      <c r="L47" s="127"/>
    </row>
    <row r="48" spans="1:12" x14ac:dyDescent="0.2">
      <c r="A48" s="107" t="s">
        <v>51</v>
      </c>
      <c r="B48" s="125"/>
      <c r="F48" s="122" t="s">
        <v>855</v>
      </c>
      <c r="L48" s="127"/>
    </row>
    <row r="49" spans="1:12" ht="237" thickBot="1" x14ac:dyDescent="0.25">
      <c r="A49" s="124" t="s">
        <v>53</v>
      </c>
      <c r="B49" s="125"/>
      <c r="F49" s="123" t="s">
        <v>856</v>
      </c>
      <c r="L49" s="127"/>
    </row>
    <row r="50" spans="1:12" ht="11.25" customHeight="1" thickBot="1" x14ac:dyDescent="0.25">
      <c r="A50" s="124" t="s">
        <v>44</v>
      </c>
      <c r="B50" s="113">
        <v>10</v>
      </c>
      <c r="C50" s="114" t="s">
        <v>857</v>
      </c>
      <c r="D50" s="115" t="s">
        <v>60</v>
      </c>
      <c r="E50" s="115" t="s">
        <v>46</v>
      </c>
      <c r="F50" s="115" t="s">
        <v>858</v>
      </c>
      <c r="G50" s="114" t="s">
        <v>81</v>
      </c>
      <c r="H50" s="114">
        <f>ROUND(150,3)</f>
        <v>150</v>
      </c>
      <c r="I50" s="114">
        <v>0</v>
      </c>
      <c r="J50" s="114">
        <f>ROUND(H50,3) * I50</f>
        <v>0</v>
      </c>
      <c r="K50" s="116"/>
      <c r="L50" s="117">
        <f>ROUND(ROUND(H50,3) * ROUND(K50,2),2)</f>
        <v>0</v>
      </c>
    </row>
    <row r="51" spans="1:12" x14ac:dyDescent="0.2">
      <c r="A51" s="124" t="s">
        <v>49</v>
      </c>
      <c r="B51" s="125"/>
      <c r="F51" s="119" t="s">
        <v>17</v>
      </c>
      <c r="L51" s="127"/>
    </row>
    <row r="52" spans="1:12" x14ac:dyDescent="0.2">
      <c r="A52" s="107" t="s">
        <v>51</v>
      </c>
      <c r="B52" s="125"/>
      <c r="F52" s="122" t="s">
        <v>859</v>
      </c>
      <c r="L52" s="127"/>
    </row>
    <row r="53" spans="1:12" ht="34.5" thickBot="1" x14ac:dyDescent="0.25">
      <c r="A53" s="124" t="s">
        <v>53</v>
      </c>
      <c r="B53" s="125"/>
      <c r="F53" s="123" t="s">
        <v>860</v>
      </c>
      <c r="L53" s="127"/>
    </row>
    <row r="54" spans="1:12" ht="11.25" customHeight="1" thickBot="1" x14ac:dyDescent="0.25">
      <c r="A54" s="124" t="s">
        <v>44</v>
      </c>
      <c r="B54" s="113">
        <v>11</v>
      </c>
      <c r="C54" s="114" t="s">
        <v>861</v>
      </c>
      <c r="D54" s="115" t="s">
        <v>60</v>
      </c>
      <c r="E54" s="115" t="s">
        <v>46</v>
      </c>
      <c r="F54" s="115" t="s">
        <v>862</v>
      </c>
      <c r="G54" s="114" t="s">
        <v>81</v>
      </c>
      <c r="H54" s="114">
        <f>ROUND(150,3)</f>
        <v>150</v>
      </c>
      <c r="I54" s="114">
        <v>0</v>
      </c>
      <c r="J54" s="114">
        <f>ROUND(H54,3) * I54</f>
        <v>0</v>
      </c>
      <c r="K54" s="116"/>
      <c r="L54" s="117">
        <f>ROUND(ROUND(H54,3) * ROUND(K54,2),2)</f>
        <v>0</v>
      </c>
    </row>
    <row r="55" spans="1:12" x14ac:dyDescent="0.2">
      <c r="A55" s="124" t="s">
        <v>49</v>
      </c>
      <c r="B55" s="125"/>
      <c r="F55" s="119" t="s">
        <v>17</v>
      </c>
      <c r="L55" s="127"/>
    </row>
    <row r="56" spans="1:12" x14ac:dyDescent="0.2">
      <c r="A56" s="107" t="s">
        <v>51</v>
      </c>
      <c r="B56" s="125"/>
      <c r="F56" s="122" t="s">
        <v>859</v>
      </c>
      <c r="L56" s="127"/>
    </row>
    <row r="57" spans="1:12" ht="23.25" thickBot="1" x14ac:dyDescent="0.25">
      <c r="A57" s="124" t="s">
        <v>53</v>
      </c>
      <c r="B57" s="125"/>
      <c r="F57" s="123" t="s">
        <v>863</v>
      </c>
      <c r="L57" s="127"/>
    </row>
    <row r="58" spans="1:12" ht="13.5" customHeight="1" thickBot="1" x14ac:dyDescent="0.25">
      <c r="B58" s="128" t="s">
        <v>58</v>
      </c>
      <c r="C58" s="129" t="s">
        <v>59</v>
      </c>
      <c r="D58" s="130"/>
      <c r="E58" s="130"/>
      <c r="F58" s="130" t="s">
        <v>61</v>
      </c>
      <c r="G58" s="130"/>
      <c r="H58" s="130"/>
      <c r="I58" s="130"/>
      <c r="J58" s="130"/>
      <c r="K58" s="130"/>
      <c r="L58" s="131">
        <f>SUM(L14:L57)</f>
        <v>0</v>
      </c>
    </row>
    <row r="59" spans="1:12" ht="20.100000000000001" customHeight="1" thickBot="1" x14ac:dyDescent="0.25">
      <c r="A59" s="124" t="s">
        <v>40</v>
      </c>
      <c r="B59" s="132" t="s">
        <v>41</v>
      </c>
      <c r="C59" s="109" t="s">
        <v>198</v>
      </c>
      <c r="D59" s="110"/>
      <c r="E59" s="110"/>
      <c r="F59" s="111" t="s">
        <v>864</v>
      </c>
      <c r="G59" s="110"/>
      <c r="H59" s="110"/>
      <c r="I59" s="110"/>
      <c r="J59" s="110"/>
      <c r="K59" s="110"/>
      <c r="L59" s="112"/>
    </row>
    <row r="60" spans="1:12" ht="11.25" customHeight="1" thickBot="1" x14ac:dyDescent="0.25">
      <c r="A60" s="124" t="s">
        <v>44</v>
      </c>
      <c r="B60" s="113">
        <v>12</v>
      </c>
      <c r="C60" s="114" t="s">
        <v>865</v>
      </c>
      <c r="D60" s="115" t="s">
        <v>60</v>
      </c>
      <c r="E60" s="115" t="s">
        <v>46</v>
      </c>
      <c r="F60" s="115" t="s">
        <v>866</v>
      </c>
      <c r="G60" s="114" t="s">
        <v>64</v>
      </c>
      <c r="H60" s="114">
        <f>ROUND(0.672,3)</f>
        <v>0.67200000000000004</v>
      </c>
      <c r="I60" s="114">
        <v>0</v>
      </c>
      <c r="J60" s="114">
        <f>ROUND(H60,3) * I60</f>
        <v>0</v>
      </c>
      <c r="K60" s="116"/>
      <c r="L60" s="117">
        <f>ROUND(ROUND(H60,3) * ROUND(K60,2),2)</f>
        <v>0</v>
      </c>
    </row>
    <row r="61" spans="1:12" x14ac:dyDescent="0.2">
      <c r="A61" s="124" t="s">
        <v>49</v>
      </c>
      <c r="B61" s="125"/>
      <c r="F61" s="119" t="s">
        <v>17</v>
      </c>
      <c r="L61" s="127"/>
    </row>
    <row r="62" spans="1:12" x14ac:dyDescent="0.2">
      <c r="A62" s="107" t="s">
        <v>51</v>
      </c>
      <c r="B62" s="125"/>
      <c r="F62" s="122" t="s">
        <v>867</v>
      </c>
      <c r="L62" s="127"/>
    </row>
    <row r="63" spans="1:12" ht="282" thickBot="1" x14ac:dyDescent="0.25">
      <c r="A63" s="124" t="s">
        <v>53</v>
      </c>
      <c r="B63" s="125"/>
      <c r="F63" s="123" t="s">
        <v>868</v>
      </c>
      <c r="L63" s="127"/>
    </row>
    <row r="64" spans="1:12" ht="11.25" customHeight="1" thickBot="1" x14ac:dyDescent="0.25">
      <c r="A64" s="124" t="s">
        <v>44</v>
      </c>
      <c r="B64" s="113">
        <v>13</v>
      </c>
      <c r="C64" s="114" t="s">
        <v>869</v>
      </c>
      <c r="D64" s="115" t="s">
        <v>60</v>
      </c>
      <c r="E64" s="115" t="s">
        <v>46</v>
      </c>
      <c r="F64" s="115" t="s">
        <v>870</v>
      </c>
      <c r="G64" s="114" t="s">
        <v>64</v>
      </c>
      <c r="H64" s="114">
        <f>ROUND(4.257,3)</f>
        <v>4.2569999999999997</v>
      </c>
      <c r="I64" s="114">
        <v>0</v>
      </c>
      <c r="J64" s="114">
        <f>ROUND(H64,3) * I64</f>
        <v>0</v>
      </c>
      <c r="K64" s="116"/>
      <c r="L64" s="117">
        <f>ROUND(ROUND(H64,3) * ROUND(K64,2),2)</f>
        <v>0</v>
      </c>
    </row>
    <row r="65" spans="1:12" x14ac:dyDescent="0.2">
      <c r="A65" s="124" t="s">
        <v>49</v>
      </c>
      <c r="B65" s="125"/>
      <c r="F65" s="119" t="s">
        <v>17</v>
      </c>
      <c r="L65" s="127"/>
    </row>
    <row r="66" spans="1:12" ht="22.5" x14ac:dyDescent="0.2">
      <c r="A66" s="107" t="s">
        <v>51</v>
      </c>
      <c r="B66" s="125"/>
      <c r="F66" s="122" t="s">
        <v>871</v>
      </c>
      <c r="L66" s="127"/>
    </row>
    <row r="67" spans="1:12" ht="282" thickBot="1" x14ac:dyDescent="0.25">
      <c r="A67" s="124" t="s">
        <v>53</v>
      </c>
      <c r="B67" s="125"/>
      <c r="F67" s="123" t="s">
        <v>868</v>
      </c>
      <c r="L67" s="127"/>
    </row>
    <row r="68" spans="1:12" ht="11.25" customHeight="1" thickBot="1" x14ac:dyDescent="0.25">
      <c r="A68" s="124" t="s">
        <v>44</v>
      </c>
      <c r="B68" s="113">
        <v>14</v>
      </c>
      <c r="C68" s="114" t="s">
        <v>872</v>
      </c>
      <c r="D68" s="115" t="s">
        <v>60</v>
      </c>
      <c r="E68" s="115" t="s">
        <v>46</v>
      </c>
      <c r="F68" s="115" t="s">
        <v>873</v>
      </c>
      <c r="G68" s="114" t="s">
        <v>510</v>
      </c>
      <c r="H68" s="114">
        <f>ROUND(0.062,3)</f>
        <v>6.2E-2</v>
      </c>
      <c r="I68" s="114">
        <v>0</v>
      </c>
      <c r="J68" s="114">
        <f>ROUND(H68,3) * I68</f>
        <v>0</v>
      </c>
      <c r="K68" s="116"/>
      <c r="L68" s="117">
        <f>ROUND(ROUND(H68,3) * ROUND(K68,2),2)</f>
        <v>0</v>
      </c>
    </row>
    <row r="69" spans="1:12" x14ac:dyDescent="0.2">
      <c r="A69" s="124" t="s">
        <v>49</v>
      </c>
      <c r="B69" s="125"/>
      <c r="F69" s="119" t="s">
        <v>17</v>
      </c>
      <c r="L69" s="127"/>
    </row>
    <row r="70" spans="1:12" x14ac:dyDescent="0.2">
      <c r="A70" s="107" t="s">
        <v>51</v>
      </c>
      <c r="B70" s="125"/>
      <c r="F70" s="122" t="s">
        <v>874</v>
      </c>
      <c r="L70" s="127"/>
    </row>
    <row r="71" spans="1:12" ht="225.75" thickBot="1" x14ac:dyDescent="0.25">
      <c r="A71" s="124" t="s">
        <v>53</v>
      </c>
      <c r="B71" s="125"/>
      <c r="F71" s="123" t="s">
        <v>875</v>
      </c>
      <c r="L71" s="127"/>
    </row>
    <row r="72" spans="1:12" ht="11.25" customHeight="1" thickBot="1" x14ac:dyDescent="0.25">
      <c r="A72" s="124" t="s">
        <v>44</v>
      </c>
      <c r="B72" s="113">
        <v>15</v>
      </c>
      <c r="C72" s="114" t="s">
        <v>876</v>
      </c>
      <c r="D72" s="115" t="s">
        <v>60</v>
      </c>
      <c r="E72" s="115" t="s">
        <v>46</v>
      </c>
      <c r="F72" s="115" t="s">
        <v>877</v>
      </c>
      <c r="G72" s="114" t="s">
        <v>510</v>
      </c>
      <c r="H72" s="114">
        <f>ROUND(0.118,3)</f>
        <v>0.11799999999999999</v>
      </c>
      <c r="I72" s="114">
        <v>0</v>
      </c>
      <c r="J72" s="114">
        <f>ROUND(H72,3) * I72</f>
        <v>0</v>
      </c>
      <c r="K72" s="116"/>
      <c r="L72" s="117">
        <f>ROUND(ROUND(H72,3) * ROUND(K72,2),2)</f>
        <v>0</v>
      </c>
    </row>
    <row r="73" spans="1:12" x14ac:dyDescent="0.2">
      <c r="A73" s="124" t="s">
        <v>49</v>
      </c>
      <c r="B73" s="125"/>
      <c r="F73" s="119" t="s">
        <v>17</v>
      </c>
      <c r="L73" s="127"/>
    </row>
    <row r="74" spans="1:12" x14ac:dyDescent="0.2">
      <c r="A74" s="107" t="s">
        <v>51</v>
      </c>
      <c r="B74" s="125"/>
      <c r="F74" s="122" t="s">
        <v>878</v>
      </c>
      <c r="L74" s="127"/>
    </row>
    <row r="75" spans="1:12" ht="225.75" thickBot="1" x14ac:dyDescent="0.25">
      <c r="A75" s="124" t="s">
        <v>53</v>
      </c>
      <c r="B75" s="125"/>
      <c r="F75" s="123" t="s">
        <v>875</v>
      </c>
      <c r="L75" s="127"/>
    </row>
    <row r="76" spans="1:12" ht="13.5" customHeight="1" thickBot="1" x14ac:dyDescent="0.25">
      <c r="B76" s="128" t="s">
        <v>58</v>
      </c>
      <c r="C76" s="129" t="s">
        <v>59</v>
      </c>
      <c r="D76" s="130"/>
      <c r="E76" s="130"/>
      <c r="F76" s="130" t="s">
        <v>864</v>
      </c>
      <c r="G76" s="130"/>
      <c r="H76" s="130"/>
      <c r="I76" s="130"/>
      <c r="J76" s="130"/>
      <c r="K76" s="130"/>
      <c r="L76" s="131">
        <f>SUM(L60:L75)</f>
        <v>0</v>
      </c>
    </row>
    <row r="77" spans="1:12" ht="20.100000000000001" customHeight="1" thickBot="1" x14ac:dyDescent="0.25">
      <c r="A77" s="124" t="s">
        <v>40</v>
      </c>
      <c r="B77" s="132" t="s">
        <v>41</v>
      </c>
      <c r="C77" s="109" t="s">
        <v>647</v>
      </c>
      <c r="D77" s="110"/>
      <c r="E77" s="110"/>
      <c r="F77" s="111" t="s">
        <v>648</v>
      </c>
      <c r="G77" s="110"/>
      <c r="H77" s="110"/>
      <c r="I77" s="110"/>
      <c r="J77" s="110"/>
      <c r="K77" s="110"/>
      <c r="L77" s="112"/>
    </row>
    <row r="78" spans="1:12" ht="11.25" customHeight="1" thickBot="1" x14ac:dyDescent="0.25">
      <c r="A78" s="124" t="s">
        <v>44</v>
      </c>
      <c r="B78" s="113">
        <v>16</v>
      </c>
      <c r="C78" s="114" t="s">
        <v>879</v>
      </c>
      <c r="D78" s="115" t="s">
        <v>60</v>
      </c>
      <c r="E78" s="115" t="s">
        <v>46</v>
      </c>
      <c r="F78" s="115" t="s">
        <v>880</v>
      </c>
      <c r="G78" s="114" t="s">
        <v>64</v>
      </c>
      <c r="H78" s="114">
        <f>ROUND(5.897,3)</f>
        <v>5.8970000000000002</v>
      </c>
      <c r="I78" s="114">
        <v>0</v>
      </c>
      <c r="J78" s="114">
        <f>ROUND(H78,3) * I78</f>
        <v>0</v>
      </c>
      <c r="K78" s="116"/>
      <c r="L78" s="117">
        <f>ROUND(ROUND(H78,3) * ROUND(K78,2),2)</f>
        <v>0</v>
      </c>
    </row>
    <row r="79" spans="1:12" x14ac:dyDescent="0.2">
      <c r="A79" s="124" t="s">
        <v>49</v>
      </c>
      <c r="B79" s="125"/>
      <c r="F79" s="119" t="s">
        <v>17</v>
      </c>
      <c r="L79" s="127"/>
    </row>
    <row r="80" spans="1:12" x14ac:dyDescent="0.2">
      <c r="A80" s="107" t="s">
        <v>51</v>
      </c>
      <c r="B80" s="125"/>
      <c r="F80" s="122" t="s">
        <v>881</v>
      </c>
      <c r="L80" s="127"/>
    </row>
    <row r="81" spans="1:12" ht="282" thickBot="1" x14ac:dyDescent="0.25">
      <c r="A81" s="124" t="s">
        <v>53</v>
      </c>
      <c r="B81" s="125"/>
      <c r="F81" s="123" t="s">
        <v>882</v>
      </c>
      <c r="L81" s="127"/>
    </row>
    <row r="82" spans="1:12" ht="11.25" customHeight="1" thickBot="1" x14ac:dyDescent="0.25">
      <c r="A82" s="124" t="s">
        <v>44</v>
      </c>
      <c r="B82" s="113">
        <v>17</v>
      </c>
      <c r="C82" s="114" t="s">
        <v>649</v>
      </c>
      <c r="D82" s="115" t="s">
        <v>60</v>
      </c>
      <c r="E82" s="115" t="s">
        <v>46</v>
      </c>
      <c r="F82" s="115" t="s">
        <v>650</v>
      </c>
      <c r="G82" s="114" t="s">
        <v>64</v>
      </c>
      <c r="H82" s="114">
        <f>ROUND(1.78,3)</f>
        <v>1.78</v>
      </c>
      <c r="I82" s="114">
        <v>0</v>
      </c>
      <c r="J82" s="114">
        <f>ROUND(H82,3) * I82</f>
        <v>0</v>
      </c>
      <c r="K82" s="116"/>
      <c r="L82" s="117">
        <f>ROUND(ROUND(H82,3) * ROUND(K82,2),2)</f>
        <v>0</v>
      </c>
    </row>
    <row r="83" spans="1:12" x14ac:dyDescent="0.2">
      <c r="A83" s="124" t="s">
        <v>49</v>
      </c>
      <c r="B83" s="125"/>
      <c r="F83" s="119" t="s">
        <v>17</v>
      </c>
      <c r="L83" s="127"/>
    </row>
    <row r="84" spans="1:12" x14ac:dyDescent="0.2">
      <c r="A84" s="107" t="s">
        <v>51</v>
      </c>
      <c r="B84" s="125"/>
      <c r="F84" s="122" t="s">
        <v>883</v>
      </c>
      <c r="L84" s="127"/>
    </row>
    <row r="85" spans="1:12" ht="282" thickBot="1" x14ac:dyDescent="0.25">
      <c r="A85" s="124" t="s">
        <v>53</v>
      </c>
      <c r="B85" s="125"/>
      <c r="F85" s="123" t="s">
        <v>882</v>
      </c>
      <c r="L85" s="127"/>
    </row>
    <row r="86" spans="1:12" ht="11.25" customHeight="1" thickBot="1" x14ac:dyDescent="0.25">
      <c r="A86" s="124" t="s">
        <v>44</v>
      </c>
      <c r="B86" s="113">
        <v>18</v>
      </c>
      <c r="C86" s="114" t="s">
        <v>884</v>
      </c>
      <c r="D86" s="115" t="s">
        <v>60</v>
      </c>
      <c r="E86" s="115" t="s">
        <v>46</v>
      </c>
      <c r="F86" s="115" t="s">
        <v>885</v>
      </c>
      <c r="G86" s="114" t="s">
        <v>64</v>
      </c>
      <c r="H86" s="114">
        <f>ROUND(8.41,3)</f>
        <v>8.41</v>
      </c>
      <c r="I86" s="114">
        <v>0</v>
      </c>
      <c r="J86" s="114">
        <f>ROUND(H86,3) * I86</f>
        <v>0</v>
      </c>
      <c r="K86" s="116"/>
      <c r="L86" s="117">
        <f>ROUND(ROUND(H86,3) * ROUND(K86,2),2)</f>
        <v>0</v>
      </c>
    </row>
    <row r="87" spans="1:12" x14ac:dyDescent="0.2">
      <c r="A87" s="124" t="s">
        <v>49</v>
      </c>
      <c r="B87" s="125"/>
      <c r="F87" s="119" t="s">
        <v>17</v>
      </c>
      <c r="L87" s="127"/>
    </row>
    <row r="88" spans="1:12" x14ac:dyDescent="0.2">
      <c r="A88" s="107" t="s">
        <v>51</v>
      </c>
      <c r="B88" s="125"/>
      <c r="F88" s="122" t="s">
        <v>886</v>
      </c>
      <c r="L88" s="127"/>
    </row>
    <row r="89" spans="1:12" ht="90.75" thickBot="1" x14ac:dyDescent="0.25">
      <c r="A89" s="124" t="s">
        <v>53</v>
      </c>
      <c r="B89" s="125"/>
      <c r="F89" s="123" t="s">
        <v>887</v>
      </c>
      <c r="L89" s="127"/>
    </row>
    <row r="90" spans="1:12" ht="13.5" customHeight="1" thickBot="1" x14ac:dyDescent="0.25">
      <c r="B90" s="128" t="s">
        <v>58</v>
      </c>
      <c r="C90" s="129" t="s">
        <v>59</v>
      </c>
      <c r="D90" s="130"/>
      <c r="E90" s="130"/>
      <c r="F90" s="130" t="s">
        <v>648</v>
      </c>
      <c r="G90" s="130"/>
      <c r="H90" s="130"/>
      <c r="I90" s="130"/>
      <c r="J90" s="130"/>
      <c r="K90" s="130"/>
      <c r="L90" s="131">
        <f>SUM(L78:L89)</f>
        <v>0</v>
      </c>
    </row>
    <row r="91" spans="1:12" ht="20.100000000000001" customHeight="1" thickBot="1" x14ac:dyDescent="0.25">
      <c r="A91" s="124" t="s">
        <v>40</v>
      </c>
      <c r="B91" s="132" t="s">
        <v>41</v>
      </c>
      <c r="C91" s="109" t="s">
        <v>888</v>
      </c>
      <c r="D91" s="110"/>
      <c r="E91" s="110"/>
      <c r="F91" s="111" t="s">
        <v>889</v>
      </c>
      <c r="G91" s="110"/>
      <c r="H91" s="110"/>
      <c r="I91" s="110"/>
      <c r="J91" s="110"/>
      <c r="K91" s="110"/>
      <c r="L91" s="112"/>
    </row>
    <row r="92" spans="1:12" ht="11.25" customHeight="1" thickBot="1" x14ac:dyDescent="0.25">
      <c r="A92" s="124" t="s">
        <v>44</v>
      </c>
      <c r="B92" s="113">
        <v>19</v>
      </c>
      <c r="C92" s="114" t="s">
        <v>890</v>
      </c>
      <c r="D92" s="115" t="s">
        <v>60</v>
      </c>
      <c r="E92" s="115" t="s">
        <v>46</v>
      </c>
      <c r="F92" s="115" t="s">
        <v>891</v>
      </c>
      <c r="G92" s="114" t="s">
        <v>81</v>
      </c>
      <c r="H92" s="114">
        <f>ROUND(3.34,3)</f>
        <v>3.34</v>
      </c>
      <c r="I92" s="114">
        <v>0</v>
      </c>
      <c r="J92" s="114">
        <f>ROUND(H92,3) * I92</f>
        <v>0</v>
      </c>
      <c r="K92" s="116"/>
      <c r="L92" s="117">
        <f>ROUND(ROUND(H92,3) * ROUND(K92,2),2)</f>
        <v>0</v>
      </c>
    </row>
    <row r="93" spans="1:12" x14ac:dyDescent="0.2">
      <c r="A93" s="124" t="s">
        <v>49</v>
      </c>
      <c r="B93" s="125"/>
      <c r="F93" s="119" t="s">
        <v>892</v>
      </c>
      <c r="L93" s="127"/>
    </row>
    <row r="94" spans="1:12" x14ac:dyDescent="0.2">
      <c r="A94" s="107" t="s">
        <v>51</v>
      </c>
      <c r="B94" s="125"/>
      <c r="F94" s="122" t="s">
        <v>893</v>
      </c>
      <c r="L94" s="127"/>
    </row>
    <row r="95" spans="1:12" ht="57" thickBot="1" x14ac:dyDescent="0.25">
      <c r="A95" s="124" t="s">
        <v>53</v>
      </c>
      <c r="B95" s="125"/>
      <c r="F95" s="123" t="s">
        <v>894</v>
      </c>
      <c r="L95" s="127"/>
    </row>
    <row r="96" spans="1:12" ht="13.5" customHeight="1" thickBot="1" x14ac:dyDescent="0.25">
      <c r="B96" s="128" t="s">
        <v>58</v>
      </c>
      <c r="C96" s="129" t="s">
        <v>59</v>
      </c>
      <c r="D96" s="130"/>
      <c r="E96" s="130"/>
      <c r="F96" s="130" t="s">
        <v>889</v>
      </c>
      <c r="G96" s="130"/>
      <c r="H96" s="130"/>
      <c r="I96" s="130"/>
      <c r="J96" s="130"/>
      <c r="K96" s="130"/>
      <c r="L96" s="131">
        <f>SUM(L92:L95)</f>
        <v>0</v>
      </c>
    </row>
    <row r="97" spans="1:12" ht="20.100000000000001" customHeight="1" thickBot="1" x14ac:dyDescent="0.25">
      <c r="A97" s="124" t="s">
        <v>40</v>
      </c>
      <c r="B97" s="132" t="s">
        <v>41</v>
      </c>
      <c r="C97" s="109" t="s">
        <v>895</v>
      </c>
      <c r="D97" s="110"/>
      <c r="E97" s="110"/>
      <c r="F97" s="111" t="s">
        <v>896</v>
      </c>
      <c r="G97" s="110"/>
      <c r="H97" s="110"/>
      <c r="I97" s="110"/>
      <c r="J97" s="110"/>
      <c r="K97" s="110"/>
      <c r="L97" s="112"/>
    </row>
    <row r="98" spans="1:12" ht="11.25" customHeight="1" thickBot="1" x14ac:dyDescent="0.25">
      <c r="A98" s="124" t="s">
        <v>44</v>
      </c>
      <c r="B98" s="113">
        <v>20</v>
      </c>
      <c r="C98" s="114" t="s">
        <v>897</v>
      </c>
      <c r="D98" s="115" t="s">
        <v>60</v>
      </c>
      <c r="E98" s="115" t="s">
        <v>46</v>
      </c>
      <c r="F98" s="115" t="s">
        <v>898</v>
      </c>
      <c r="G98" s="114" t="s">
        <v>81</v>
      </c>
      <c r="H98" s="114">
        <f>ROUND(45.491,3)</f>
        <v>45.491</v>
      </c>
      <c r="I98" s="114">
        <v>0</v>
      </c>
      <c r="J98" s="114">
        <f>ROUND(H98,3) * I98</f>
        <v>0</v>
      </c>
      <c r="K98" s="116"/>
      <c r="L98" s="117">
        <f>ROUND(ROUND(H98,3) * ROUND(K98,2),2)</f>
        <v>0</v>
      </c>
    </row>
    <row r="99" spans="1:12" x14ac:dyDescent="0.2">
      <c r="A99" s="124" t="s">
        <v>49</v>
      </c>
      <c r="B99" s="125"/>
      <c r="F99" s="119" t="s">
        <v>17</v>
      </c>
      <c r="L99" s="127"/>
    </row>
    <row r="100" spans="1:12" x14ac:dyDescent="0.2">
      <c r="A100" s="107" t="s">
        <v>51</v>
      </c>
      <c r="B100" s="125"/>
      <c r="F100" s="122" t="s">
        <v>899</v>
      </c>
      <c r="L100" s="127"/>
    </row>
    <row r="101" spans="1:12" ht="158.25" thickBot="1" x14ac:dyDescent="0.25">
      <c r="A101" s="124" t="s">
        <v>53</v>
      </c>
      <c r="B101" s="125"/>
      <c r="F101" s="123" t="s">
        <v>115</v>
      </c>
      <c r="L101" s="127"/>
    </row>
    <row r="102" spans="1:12" ht="13.5" customHeight="1" thickBot="1" x14ac:dyDescent="0.25">
      <c r="B102" s="128" t="s">
        <v>58</v>
      </c>
      <c r="C102" s="129" t="s">
        <v>59</v>
      </c>
      <c r="D102" s="130"/>
      <c r="E102" s="130"/>
      <c r="F102" s="130" t="s">
        <v>896</v>
      </c>
      <c r="G102" s="130"/>
      <c r="H102" s="130"/>
      <c r="I102" s="130"/>
      <c r="J102" s="130"/>
      <c r="K102" s="130"/>
      <c r="L102" s="131">
        <f>SUM(L98:L101)</f>
        <v>0</v>
      </c>
    </row>
    <row r="103" spans="1:12" ht="20.100000000000001" customHeight="1" thickBot="1" x14ac:dyDescent="0.25">
      <c r="A103" s="124" t="s">
        <v>40</v>
      </c>
      <c r="B103" s="132" t="s">
        <v>41</v>
      </c>
      <c r="C103" s="109" t="s">
        <v>382</v>
      </c>
      <c r="D103" s="110"/>
      <c r="E103" s="110"/>
      <c r="F103" s="111" t="s">
        <v>435</v>
      </c>
      <c r="G103" s="110"/>
      <c r="H103" s="110"/>
      <c r="I103" s="110"/>
      <c r="J103" s="110"/>
      <c r="K103" s="110"/>
      <c r="L103" s="112"/>
    </row>
    <row r="104" spans="1:12" ht="11.25" customHeight="1" thickBot="1" x14ac:dyDescent="0.25">
      <c r="A104" s="124" t="s">
        <v>44</v>
      </c>
      <c r="B104" s="113">
        <v>21</v>
      </c>
      <c r="C104" s="114" t="s">
        <v>900</v>
      </c>
      <c r="D104" s="115" t="s">
        <v>60</v>
      </c>
      <c r="E104" s="115" t="s">
        <v>46</v>
      </c>
      <c r="F104" s="115" t="s">
        <v>901</v>
      </c>
      <c r="G104" s="114" t="s">
        <v>69</v>
      </c>
      <c r="H104" s="114">
        <f>ROUND(11.9,3)</f>
        <v>11.9</v>
      </c>
      <c r="I104" s="114">
        <v>0</v>
      </c>
      <c r="J104" s="114">
        <f>ROUND(H104,3) * I104</f>
        <v>0</v>
      </c>
      <c r="K104" s="116"/>
      <c r="L104" s="117">
        <f>ROUND(ROUND(H104,3) * ROUND(K104,2),2)</f>
        <v>0</v>
      </c>
    </row>
    <row r="105" spans="1:12" x14ac:dyDescent="0.2">
      <c r="A105" s="124" t="s">
        <v>49</v>
      </c>
      <c r="B105" s="125"/>
      <c r="F105" s="119" t="s">
        <v>17</v>
      </c>
      <c r="L105" s="127"/>
    </row>
    <row r="106" spans="1:12" x14ac:dyDescent="0.2">
      <c r="A106" s="107" t="s">
        <v>51</v>
      </c>
      <c r="B106" s="125"/>
      <c r="F106" s="122" t="s">
        <v>902</v>
      </c>
      <c r="L106" s="127"/>
    </row>
    <row r="107" spans="1:12" ht="45.75" thickBot="1" x14ac:dyDescent="0.25">
      <c r="A107" s="124" t="s">
        <v>53</v>
      </c>
      <c r="B107" s="125"/>
      <c r="F107" s="123" t="s">
        <v>903</v>
      </c>
      <c r="L107" s="127"/>
    </row>
    <row r="108" spans="1:12" ht="11.25" customHeight="1" thickBot="1" x14ac:dyDescent="0.25">
      <c r="A108" s="124" t="s">
        <v>44</v>
      </c>
      <c r="B108" s="113">
        <v>22</v>
      </c>
      <c r="C108" s="114" t="s">
        <v>904</v>
      </c>
      <c r="D108" s="115" t="s">
        <v>60</v>
      </c>
      <c r="E108" s="115" t="s">
        <v>46</v>
      </c>
      <c r="F108" s="115" t="s">
        <v>905</v>
      </c>
      <c r="G108" s="114" t="s">
        <v>69</v>
      </c>
      <c r="H108" s="114">
        <f>ROUND(23.5,3)</f>
        <v>23.5</v>
      </c>
      <c r="I108" s="114">
        <v>0</v>
      </c>
      <c r="J108" s="114">
        <f>ROUND(H108,3) * I108</f>
        <v>0</v>
      </c>
      <c r="K108" s="116"/>
      <c r="L108" s="117">
        <f>ROUND(ROUND(H108,3) * ROUND(K108,2),2)</f>
        <v>0</v>
      </c>
    </row>
    <row r="109" spans="1:12" x14ac:dyDescent="0.2">
      <c r="A109" s="124" t="s">
        <v>49</v>
      </c>
      <c r="B109" s="125"/>
      <c r="F109" s="119" t="s">
        <v>17</v>
      </c>
      <c r="L109" s="127"/>
    </row>
    <row r="110" spans="1:12" x14ac:dyDescent="0.2">
      <c r="A110" s="107" t="s">
        <v>51</v>
      </c>
      <c r="B110" s="125"/>
      <c r="F110" s="122" t="s">
        <v>906</v>
      </c>
      <c r="L110" s="127"/>
    </row>
    <row r="111" spans="1:12" ht="68.25" thickBot="1" x14ac:dyDescent="0.25">
      <c r="A111" s="124" t="s">
        <v>53</v>
      </c>
      <c r="B111" s="125"/>
      <c r="F111" s="123" t="s">
        <v>907</v>
      </c>
      <c r="L111" s="127"/>
    </row>
    <row r="112" spans="1:12" ht="11.25" customHeight="1" thickBot="1" x14ac:dyDescent="0.25">
      <c r="A112" s="124" t="s">
        <v>44</v>
      </c>
      <c r="B112" s="113">
        <v>23</v>
      </c>
      <c r="C112" s="114" t="s">
        <v>908</v>
      </c>
      <c r="D112" s="115" t="s">
        <v>60</v>
      </c>
      <c r="E112" s="115" t="s">
        <v>46</v>
      </c>
      <c r="F112" s="115" t="s">
        <v>909</v>
      </c>
      <c r="G112" s="114" t="s">
        <v>64</v>
      </c>
      <c r="H112" s="114">
        <f>ROUND(0.003,3)</f>
        <v>3.0000000000000001E-3</v>
      </c>
      <c r="I112" s="114">
        <v>0</v>
      </c>
      <c r="J112" s="114">
        <f>ROUND(H112,3) * I112</f>
        <v>0</v>
      </c>
      <c r="K112" s="116"/>
      <c r="L112" s="117">
        <f>ROUND(ROUND(H112,3) * ROUND(K112,2),2)</f>
        <v>0</v>
      </c>
    </row>
    <row r="113" spans="1:12" x14ac:dyDescent="0.2">
      <c r="A113" s="124" t="s">
        <v>49</v>
      </c>
      <c r="B113" s="125"/>
      <c r="F113" s="119" t="s">
        <v>910</v>
      </c>
      <c r="L113" s="127"/>
    </row>
    <row r="114" spans="1:12" x14ac:dyDescent="0.2">
      <c r="A114" s="107" t="s">
        <v>51</v>
      </c>
      <c r="B114" s="125"/>
      <c r="F114" s="122" t="s">
        <v>911</v>
      </c>
      <c r="L114" s="127"/>
    </row>
    <row r="115" spans="1:12" ht="169.5" thickBot="1" x14ac:dyDescent="0.25">
      <c r="A115" s="124" t="s">
        <v>53</v>
      </c>
      <c r="B115" s="125"/>
      <c r="F115" s="123" t="s">
        <v>605</v>
      </c>
      <c r="L115" s="127"/>
    </row>
    <row r="116" spans="1:12" ht="13.5" customHeight="1" thickBot="1" x14ac:dyDescent="0.25">
      <c r="B116" s="128" t="s">
        <v>58</v>
      </c>
      <c r="C116" s="129" t="s">
        <v>59</v>
      </c>
      <c r="D116" s="130"/>
      <c r="E116" s="130"/>
      <c r="F116" s="130" t="s">
        <v>435</v>
      </c>
      <c r="G116" s="130"/>
      <c r="H116" s="130"/>
      <c r="I116" s="130"/>
      <c r="J116" s="130"/>
      <c r="K116" s="130"/>
      <c r="L116" s="131">
        <f>SUM(L104:L115)</f>
        <v>0</v>
      </c>
    </row>
    <row r="117" spans="1:12" ht="20.100000000000001" customHeight="1" thickBot="1" x14ac:dyDescent="0.25">
      <c r="A117" s="124" t="s">
        <v>40</v>
      </c>
      <c r="B117" s="132" t="s">
        <v>41</v>
      </c>
      <c r="C117" s="109" t="s">
        <v>441</v>
      </c>
      <c r="D117" s="110"/>
      <c r="E117" s="110"/>
      <c r="F117" s="111" t="s">
        <v>442</v>
      </c>
      <c r="G117" s="110"/>
      <c r="H117" s="110"/>
      <c r="I117" s="110"/>
      <c r="J117" s="110"/>
      <c r="K117" s="110"/>
      <c r="L117" s="112"/>
    </row>
    <row r="118" spans="1:12" ht="11.25" customHeight="1" thickBot="1" x14ac:dyDescent="0.25">
      <c r="A118" s="124" t="s">
        <v>44</v>
      </c>
      <c r="B118" s="113">
        <v>24</v>
      </c>
      <c r="C118" s="114" t="s">
        <v>912</v>
      </c>
      <c r="D118" s="115" t="s">
        <v>508</v>
      </c>
      <c r="E118" s="115"/>
      <c r="F118" s="115" t="s">
        <v>913</v>
      </c>
      <c r="G118" s="114" t="s">
        <v>510</v>
      </c>
      <c r="H118" s="114">
        <f>ROUND(346.8,3)</f>
        <v>346.8</v>
      </c>
      <c r="I118" s="114">
        <v>0</v>
      </c>
      <c r="J118" s="114">
        <f>ROUND(H118,3) * I118</f>
        <v>0</v>
      </c>
      <c r="K118" s="116"/>
      <c r="L118" s="117">
        <f>ROUND(ROUND(H118,3) * ROUND(K118,2),2)</f>
        <v>0</v>
      </c>
    </row>
    <row r="119" spans="1:12" x14ac:dyDescent="0.2">
      <c r="A119" s="124" t="s">
        <v>49</v>
      </c>
      <c r="B119" s="125"/>
      <c r="F119" s="119" t="s">
        <v>511</v>
      </c>
      <c r="L119" s="127"/>
    </row>
    <row r="120" spans="1:12" x14ac:dyDescent="0.2">
      <c r="A120" s="107" t="s">
        <v>51</v>
      </c>
      <c r="B120" s="125"/>
      <c r="F120" s="122" t="s">
        <v>914</v>
      </c>
      <c r="L120" s="127"/>
    </row>
    <row r="121" spans="1:12" ht="102" thickBot="1" x14ac:dyDescent="0.25">
      <c r="A121" s="124" t="s">
        <v>53</v>
      </c>
      <c r="B121" s="125"/>
      <c r="F121" s="123" t="s">
        <v>513</v>
      </c>
      <c r="L121" s="127"/>
    </row>
    <row r="122" spans="1:12" ht="13.5" customHeight="1" thickBot="1" x14ac:dyDescent="0.25">
      <c r="B122" s="128" t="s">
        <v>58</v>
      </c>
      <c r="C122" s="129" t="s">
        <v>59</v>
      </c>
      <c r="D122" s="130"/>
      <c r="E122" s="130"/>
      <c r="F122" s="130" t="s">
        <v>442</v>
      </c>
      <c r="G122" s="130"/>
      <c r="H122" s="130"/>
      <c r="I122" s="130"/>
      <c r="J122" s="130"/>
      <c r="K122" s="130"/>
      <c r="L122" s="131">
        <f>SUM(L118:L121)</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80" priority="1">
      <formula>$E$5="Ostatní"</formula>
    </cfRule>
    <cfRule type="expression" dxfId="179"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AEA67879-544F-4FA8-8651-385A297F4B34}"/>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45BFA93C-D5CE-4C1D-B699-C39419FF1C05}">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FCAA67F4-3AFE-409A-82DE-A4D82373257C}">
      <formula1>42370</formula1>
      <formula2>55153</formula2>
    </dataValidation>
    <dataValidation allowBlank="1" showInputMessage="1" showErrorMessage="1" promptTitle="S-kód" prompt="Číslo pod kterým je stavba evidovaná v systému SŽDC." sqref="K6" xr:uid="{51701837-D3F6-437B-9EF1-E516CB594D98}"/>
    <dataValidation type="date" allowBlank="1" showInputMessage="1" showErrorMessage="1" errorTitle="Špatný datum" error="Datum musí být v rozmezí_x000a_od 1.1.2016_x000a_do 31.12.2050" promptTitle="Vložit datum" prompt="ve formátu: dd.mm.rrrr" sqref="K8" xr:uid="{84B75A3E-6EC6-4007-A0AF-C7C6CEA3A312}">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1F590795-9F87-484D-AF62-4107F2F5EF40}">
      <formula1>"801,802,803,811,812, 813, 814,815, 817, 821,822, 823,824,825,826,827,828,831,832,833,838,839"</formula1>
    </dataValidation>
    <dataValidation type="list" allowBlank="1" showInputMessage="1" showErrorMessage="1" promptTitle="Výběr stádia dle seznamu:" prompt="Stádium 3_x000a_Stádium 2" sqref="E5" xr:uid="{F9DE7003-1A42-4535-A6B8-8E3CF7B45E2F}">
      <formula1>"Stádium 2,Stádium 3"</formula1>
    </dataValidation>
    <dataValidation type="date" allowBlank="1" showInputMessage="1" showErrorMessage="1" sqref="L8" xr:uid="{75922F40-2FBD-418B-BFD1-2F07A9092F70}">
      <formula1>42370</formula1>
      <formula2>55153</formula2>
    </dataValidation>
    <dataValidation type="list" allowBlank="1" showInputMessage="1" showErrorMessage="1" sqref="E6" xr:uid="{92D2E6B7-A38E-47A3-B8A9-55981E0A0BEC}">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E6EFF-07FF-4D19-868E-7D2C4C0F8DC1}">
  <sheetPr codeName="List15">
    <pageSetUpPr fitToPage="1"/>
  </sheetPr>
  <dimension ref="A1:O144"/>
  <sheetViews>
    <sheetView showGridLines="0" topLeftCell="B1" zoomScale="85" zoomScaleNormal="85" zoomScaleSheetLayoutView="85" workbookViewId="0">
      <pane ySplit="12" topLeftCell="A134" activePane="bottomLeft" state="frozen"/>
      <selection activeCell="B1" sqref="B1"/>
      <selection pane="bottomLeft" activeCell="K14" sqref="K14:K144"/>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915</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915</v>
      </c>
      <c r="E3" s="79"/>
      <c r="F3" s="80" t="s">
        <v>916</v>
      </c>
      <c r="G3" s="81"/>
      <c r="H3" s="82"/>
      <c r="I3" s="83"/>
      <c r="J3" s="84"/>
      <c r="K3" s="248"/>
      <c r="L3" s="249"/>
    </row>
    <row r="4" spans="1:15" s="67" customFormat="1" ht="18" customHeight="1" thickTop="1" x14ac:dyDescent="0.25">
      <c r="B4" s="256" t="s">
        <v>8</v>
      </c>
      <c r="C4" s="245"/>
      <c r="D4" s="253"/>
      <c r="E4" s="85" t="s">
        <v>824</v>
      </c>
      <c r="F4" s="86" t="str">
        <f>INDEX('[15]Kategorie monitoringu'!A1:B34,MATCH(E4,'[15]Kategorie monitoringu'!A1:A34,0),2)</f>
        <v xml:space="preserve"> Mosty, propustky, zdi</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442</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60</v>
      </c>
      <c r="D13" s="110"/>
      <c r="E13" s="110"/>
      <c r="F13" s="111" t="s">
        <v>61</v>
      </c>
      <c r="G13" s="110"/>
      <c r="H13" s="110"/>
      <c r="I13" s="110"/>
      <c r="J13" s="110"/>
      <c r="K13" s="110"/>
      <c r="L13" s="112"/>
    </row>
    <row r="14" spans="1:15" s="107" customFormat="1" ht="11.25" customHeight="1" thickBot="1" x14ac:dyDescent="0.3">
      <c r="A14" s="107" t="s">
        <v>44</v>
      </c>
      <c r="B14" s="113">
        <v>1</v>
      </c>
      <c r="C14" s="114" t="s">
        <v>697</v>
      </c>
      <c r="D14" s="115" t="s">
        <v>60</v>
      </c>
      <c r="E14" s="115" t="s">
        <v>46</v>
      </c>
      <c r="F14" s="115" t="s">
        <v>698</v>
      </c>
      <c r="G14" s="114" t="s">
        <v>81</v>
      </c>
      <c r="H14" s="114">
        <f>ROUND(30,3)</f>
        <v>30</v>
      </c>
      <c r="I14" s="114">
        <v>0</v>
      </c>
      <c r="J14" s="114">
        <f>ROUND(H14,3) * I14</f>
        <v>0</v>
      </c>
      <c r="K14" s="116"/>
      <c r="L14" s="117">
        <f>ROUND(ROUND(H14,3) * ROUND(K14,2),2)</f>
        <v>0</v>
      </c>
    </row>
    <row r="15" spans="1:15" s="107" customFormat="1" x14ac:dyDescent="0.25">
      <c r="A15" s="107" t="s">
        <v>49</v>
      </c>
      <c r="B15" s="118"/>
      <c r="F15" s="119" t="s">
        <v>17</v>
      </c>
      <c r="G15" s="120"/>
      <c r="H15" s="120"/>
      <c r="I15" s="120"/>
      <c r="J15" s="120"/>
      <c r="K15" s="120"/>
      <c r="L15" s="121"/>
    </row>
    <row r="16" spans="1:15" s="107" customFormat="1" x14ac:dyDescent="0.25">
      <c r="A16" s="107" t="s">
        <v>51</v>
      </c>
      <c r="B16" s="118"/>
      <c r="F16" s="122" t="s">
        <v>917</v>
      </c>
      <c r="G16" s="120"/>
      <c r="H16" s="120"/>
      <c r="I16" s="120"/>
      <c r="J16" s="120"/>
      <c r="K16" s="120"/>
      <c r="L16" s="121"/>
    </row>
    <row r="17" spans="1:12" s="107" customFormat="1" ht="34.5" thickBot="1" x14ac:dyDescent="0.3">
      <c r="A17" s="107" t="s">
        <v>53</v>
      </c>
      <c r="B17" s="118"/>
      <c r="F17" s="123" t="s">
        <v>701</v>
      </c>
      <c r="G17" s="120"/>
      <c r="H17" s="120"/>
      <c r="I17" s="120"/>
      <c r="J17" s="120"/>
      <c r="K17" s="120"/>
      <c r="L17" s="121"/>
    </row>
    <row r="18" spans="1:12" ht="11.25" customHeight="1" thickBot="1" x14ac:dyDescent="0.25">
      <c r="A18" s="124" t="s">
        <v>44</v>
      </c>
      <c r="B18" s="113">
        <v>2</v>
      </c>
      <c r="C18" s="114" t="s">
        <v>826</v>
      </c>
      <c r="D18" s="115" t="s">
        <v>60</v>
      </c>
      <c r="E18" s="115" t="s">
        <v>46</v>
      </c>
      <c r="F18" s="115" t="s">
        <v>827</v>
      </c>
      <c r="G18" s="114" t="s">
        <v>81</v>
      </c>
      <c r="H18" s="114">
        <f>ROUND(43,3)</f>
        <v>43</v>
      </c>
      <c r="I18" s="114">
        <v>0</v>
      </c>
      <c r="J18" s="114">
        <f>ROUND(H18,3) * I18</f>
        <v>0</v>
      </c>
      <c r="K18" s="116"/>
      <c r="L18" s="117">
        <f>ROUND(ROUND(H18,3) * ROUND(K18,2),2)</f>
        <v>0</v>
      </c>
    </row>
    <row r="19" spans="1:12" x14ac:dyDescent="0.2">
      <c r="A19" s="124" t="s">
        <v>49</v>
      </c>
      <c r="B19" s="125"/>
      <c r="F19" s="119" t="s">
        <v>17</v>
      </c>
      <c r="L19" s="127"/>
    </row>
    <row r="20" spans="1:12" x14ac:dyDescent="0.2">
      <c r="A20" s="107" t="s">
        <v>51</v>
      </c>
      <c r="B20" s="125"/>
      <c r="F20" s="122" t="s">
        <v>918</v>
      </c>
      <c r="L20" s="127"/>
    </row>
    <row r="21" spans="1:12" ht="12" thickBot="1" x14ac:dyDescent="0.25">
      <c r="A21" s="124" t="s">
        <v>53</v>
      </c>
      <c r="B21" s="125"/>
      <c r="F21" s="123" t="s">
        <v>829</v>
      </c>
      <c r="L21" s="127"/>
    </row>
    <row r="22" spans="1:12" ht="11.25" customHeight="1" thickBot="1" x14ac:dyDescent="0.25">
      <c r="A22" s="124" t="s">
        <v>44</v>
      </c>
      <c r="B22" s="113">
        <v>3</v>
      </c>
      <c r="C22" s="114" t="s">
        <v>830</v>
      </c>
      <c r="D22" s="115" t="s">
        <v>60</v>
      </c>
      <c r="E22" s="115" t="s">
        <v>46</v>
      </c>
      <c r="F22" s="115" t="s">
        <v>831</v>
      </c>
      <c r="G22" s="114" t="s">
        <v>214</v>
      </c>
      <c r="H22" s="114">
        <f>ROUND(150,3)</f>
        <v>150</v>
      </c>
      <c r="I22" s="114">
        <v>0</v>
      </c>
      <c r="J22" s="114">
        <f>ROUND(H22,3) * I22</f>
        <v>0</v>
      </c>
      <c r="K22" s="116"/>
      <c r="L22" s="117">
        <f>ROUND(ROUND(H22,3) * ROUND(K22,2),2)</f>
        <v>0</v>
      </c>
    </row>
    <row r="23" spans="1:12" x14ac:dyDescent="0.2">
      <c r="A23" s="124" t="s">
        <v>49</v>
      </c>
      <c r="B23" s="125"/>
      <c r="F23" s="119" t="s">
        <v>17</v>
      </c>
      <c r="L23" s="127"/>
    </row>
    <row r="24" spans="1:12" x14ac:dyDescent="0.2">
      <c r="A24" s="107" t="s">
        <v>51</v>
      </c>
      <c r="B24" s="125"/>
      <c r="F24" s="122" t="s">
        <v>832</v>
      </c>
      <c r="L24" s="127"/>
    </row>
    <row r="25" spans="1:12" ht="23.25" thickBot="1" x14ac:dyDescent="0.25">
      <c r="A25" s="124" t="s">
        <v>53</v>
      </c>
      <c r="B25" s="125"/>
      <c r="F25" s="123" t="s">
        <v>833</v>
      </c>
      <c r="L25" s="127"/>
    </row>
    <row r="26" spans="1:12" ht="11.25" customHeight="1" thickBot="1" x14ac:dyDescent="0.25">
      <c r="A26" s="124" t="s">
        <v>44</v>
      </c>
      <c r="B26" s="113">
        <v>4</v>
      </c>
      <c r="C26" s="114" t="s">
        <v>834</v>
      </c>
      <c r="D26" s="115" t="s">
        <v>60</v>
      </c>
      <c r="E26" s="115" t="s">
        <v>46</v>
      </c>
      <c r="F26" s="115" t="s">
        <v>835</v>
      </c>
      <c r="G26" s="114" t="s">
        <v>64</v>
      </c>
      <c r="H26" s="114">
        <f>ROUND(73,3)</f>
        <v>73</v>
      </c>
      <c r="I26" s="114">
        <v>0</v>
      </c>
      <c r="J26" s="114">
        <f>ROUND(H26,3) * I26</f>
        <v>0</v>
      </c>
      <c r="K26" s="116"/>
      <c r="L26" s="117">
        <f>ROUND(ROUND(H26,3) * ROUND(K26,2),2)</f>
        <v>0</v>
      </c>
    </row>
    <row r="27" spans="1:12" x14ac:dyDescent="0.2">
      <c r="A27" s="124" t="s">
        <v>49</v>
      </c>
      <c r="B27" s="125"/>
      <c r="F27" s="119" t="s">
        <v>17</v>
      </c>
      <c r="L27" s="127"/>
    </row>
    <row r="28" spans="1:12" x14ac:dyDescent="0.2">
      <c r="A28" s="107" t="s">
        <v>51</v>
      </c>
      <c r="B28" s="125"/>
      <c r="F28" s="122" t="s">
        <v>919</v>
      </c>
      <c r="L28" s="127"/>
    </row>
    <row r="29" spans="1:12" ht="23.25" thickBot="1" x14ac:dyDescent="0.25">
      <c r="A29" s="124" t="s">
        <v>53</v>
      </c>
      <c r="B29" s="125"/>
      <c r="F29" s="123" t="s">
        <v>837</v>
      </c>
      <c r="L29" s="127"/>
    </row>
    <row r="30" spans="1:12" ht="11.25" customHeight="1" thickBot="1" x14ac:dyDescent="0.25">
      <c r="A30" s="124" t="s">
        <v>44</v>
      </c>
      <c r="B30" s="113">
        <v>5</v>
      </c>
      <c r="C30" s="114" t="s">
        <v>838</v>
      </c>
      <c r="D30" s="115" t="s">
        <v>60</v>
      </c>
      <c r="E30" s="115" t="s">
        <v>46</v>
      </c>
      <c r="F30" s="115" t="s">
        <v>839</v>
      </c>
      <c r="G30" s="114" t="s">
        <v>64</v>
      </c>
      <c r="H30" s="114">
        <f>ROUND(36,3)</f>
        <v>36</v>
      </c>
      <c r="I30" s="114">
        <v>0</v>
      </c>
      <c r="J30" s="114">
        <f>ROUND(H30,3) * I30</f>
        <v>0</v>
      </c>
      <c r="K30" s="116"/>
      <c r="L30" s="117">
        <f>ROUND(ROUND(H30,3) * ROUND(K30,2),2)</f>
        <v>0</v>
      </c>
    </row>
    <row r="31" spans="1:12" x14ac:dyDescent="0.2">
      <c r="A31" s="124" t="s">
        <v>49</v>
      </c>
      <c r="B31" s="125"/>
      <c r="F31" s="119" t="s">
        <v>17</v>
      </c>
      <c r="L31" s="127"/>
    </row>
    <row r="32" spans="1:12" x14ac:dyDescent="0.2">
      <c r="A32" s="107" t="s">
        <v>51</v>
      </c>
      <c r="B32" s="125"/>
      <c r="F32" s="122" t="s">
        <v>920</v>
      </c>
      <c r="L32" s="127"/>
    </row>
    <row r="33" spans="1:12" ht="304.5" thickBot="1" x14ac:dyDescent="0.25">
      <c r="A33" s="124" t="s">
        <v>53</v>
      </c>
      <c r="B33" s="125"/>
      <c r="F33" s="123" t="s">
        <v>841</v>
      </c>
      <c r="L33" s="127"/>
    </row>
    <row r="34" spans="1:12" ht="11.25" customHeight="1" thickBot="1" x14ac:dyDescent="0.25">
      <c r="A34" s="124" t="s">
        <v>44</v>
      </c>
      <c r="B34" s="113">
        <v>6</v>
      </c>
      <c r="C34" s="114" t="s">
        <v>842</v>
      </c>
      <c r="D34" s="115" t="s">
        <v>60</v>
      </c>
      <c r="E34" s="115" t="s">
        <v>46</v>
      </c>
      <c r="F34" s="115" t="s">
        <v>843</v>
      </c>
      <c r="G34" s="114" t="s">
        <v>64</v>
      </c>
      <c r="H34" s="114">
        <f>ROUND(173.4,3)</f>
        <v>173.4</v>
      </c>
      <c r="I34" s="114">
        <v>0</v>
      </c>
      <c r="J34" s="114">
        <f>ROUND(H34,3) * I34</f>
        <v>0</v>
      </c>
      <c r="K34" s="116"/>
      <c r="L34" s="117">
        <f>ROUND(ROUND(H34,3) * ROUND(K34,2),2)</f>
        <v>0</v>
      </c>
    </row>
    <row r="35" spans="1:12" x14ac:dyDescent="0.2">
      <c r="A35" s="124" t="s">
        <v>49</v>
      </c>
      <c r="B35" s="125"/>
      <c r="F35" s="119" t="s">
        <v>17</v>
      </c>
      <c r="L35" s="127"/>
    </row>
    <row r="36" spans="1:12" x14ac:dyDescent="0.2">
      <c r="A36" s="107" t="s">
        <v>51</v>
      </c>
      <c r="B36" s="125"/>
      <c r="F36" s="122" t="s">
        <v>921</v>
      </c>
      <c r="L36" s="127"/>
    </row>
    <row r="37" spans="1:12" ht="304.5" thickBot="1" x14ac:dyDescent="0.25">
      <c r="A37" s="124" t="s">
        <v>53</v>
      </c>
      <c r="B37" s="125"/>
      <c r="F37" s="123" t="s">
        <v>841</v>
      </c>
      <c r="L37" s="127"/>
    </row>
    <row r="38" spans="1:12" ht="11.25" customHeight="1" thickBot="1" x14ac:dyDescent="0.25">
      <c r="A38" s="124" t="s">
        <v>44</v>
      </c>
      <c r="B38" s="113">
        <v>7</v>
      </c>
      <c r="C38" s="114" t="s">
        <v>845</v>
      </c>
      <c r="D38" s="115" t="s">
        <v>60</v>
      </c>
      <c r="E38" s="115" t="s">
        <v>46</v>
      </c>
      <c r="F38" s="115" t="s">
        <v>846</v>
      </c>
      <c r="G38" s="114" t="s">
        <v>494</v>
      </c>
      <c r="H38" s="114">
        <f>ROUND(2094,3)</f>
        <v>2094</v>
      </c>
      <c r="I38" s="114">
        <v>0</v>
      </c>
      <c r="J38" s="114">
        <f>ROUND(H38,3) * I38</f>
        <v>0</v>
      </c>
      <c r="K38" s="116"/>
      <c r="L38" s="117">
        <f>ROUND(ROUND(H38,3) * ROUND(K38,2),2)</f>
        <v>0</v>
      </c>
    </row>
    <row r="39" spans="1:12" x14ac:dyDescent="0.2">
      <c r="A39" s="124" t="s">
        <v>49</v>
      </c>
      <c r="B39" s="125"/>
      <c r="F39" s="119" t="s">
        <v>17</v>
      </c>
      <c r="L39" s="127"/>
    </row>
    <row r="40" spans="1:12" x14ac:dyDescent="0.2">
      <c r="A40" s="107" t="s">
        <v>51</v>
      </c>
      <c r="B40" s="125"/>
      <c r="F40" s="122" t="s">
        <v>922</v>
      </c>
      <c r="L40" s="127"/>
    </row>
    <row r="41" spans="1:12" ht="23.25" thickBot="1" x14ac:dyDescent="0.25">
      <c r="A41" s="124" t="s">
        <v>53</v>
      </c>
      <c r="B41" s="125"/>
      <c r="F41" s="123" t="s">
        <v>848</v>
      </c>
      <c r="L41" s="127"/>
    </row>
    <row r="42" spans="1:12" ht="11.25" customHeight="1" thickBot="1" x14ac:dyDescent="0.25">
      <c r="A42" s="124" t="s">
        <v>44</v>
      </c>
      <c r="B42" s="113">
        <v>8</v>
      </c>
      <c r="C42" s="114" t="s">
        <v>724</v>
      </c>
      <c r="D42" s="115" t="s">
        <v>60</v>
      </c>
      <c r="E42" s="115" t="s">
        <v>46</v>
      </c>
      <c r="F42" s="115" t="s">
        <v>725</v>
      </c>
      <c r="G42" s="114" t="s">
        <v>64</v>
      </c>
      <c r="H42" s="114">
        <f>ROUND(20.09,3)</f>
        <v>20.09</v>
      </c>
      <c r="I42" s="114">
        <v>0</v>
      </c>
      <c r="J42" s="114">
        <f>ROUND(H42,3) * I42</f>
        <v>0</v>
      </c>
      <c r="K42" s="116"/>
      <c r="L42" s="117">
        <f>ROUND(ROUND(H42,3) * ROUND(K42,2),2)</f>
        <v>0</v>
      </c>
    </row>
    <row r="43" spans="1:12" x14ac:dyDescent="0.2">
      <c r="A43" s="124" t="s">
        <v>49</v>
      </c>
      <c r="B43" s="125"/>
      <c r="F43" s="119" t="s">
        <v>923</v>
      </c>
      <c r="L43" s="127"/>
    </row>
    <row r="44" spans="1:12" x14ac:dyDescent="0.2">
      <c r="A44" s="107" t="s">
        <v>51</v>
      </c>
      <c r="B44" s="125"/>
      <c r="F44" s="122" t="s">
        <v>924</v>
      </c>
      <c r="L44" s="127"/>
    </row>
    <row r="45" spans="1:12" ht="237" thickBot="1" x14ac:dyDescent="0.25">
      <c r="A45" s="124" t="s">
        <v>53</v>
      </c>
      <c r="B45" s="125"/>
      <c r="F45" s="123" t="s">
        <v>727</v>
      </c>
      <c r="L45" s="127"/>
    </row>
    <row r="46" spans="1:12" ht="11.25" customHeight="1" thickBot="1" x14ac:dyDescent="0.25">
      <c r="A46" s="124" t="s">
        <v>44</v>
      </c>
      <c r="B46" s="113">
        <v>9</v>
      </c>
      <c r="C46" s="114" t="s">
        <v>75</v>
      </c>
      <c r="D46" s="115" t="s">
        <v>60</v>
      </c>
      <c r="E46" s="115" t="s">
        <v>46</v>
      </c>
      <c r="F46" s="115" t="s">
        <v>76</v>
      </c>
      <c r="G46" s="114" t="s">
        <v>64</v>
      </c>
      <c r="H46" s="114">
        <f>ROUND(58.161,3)</f>
        <v>58.161000000000001</v>
      </c>
      <c r="I46" s="114">
        <v>0</v>
      </c>
      <c r="J46" s="114">
        <f>ROUND(H46,3) * I46</f>
        <v>0</v>
      </c>
      <c r="K46" s="116"/>
      <c r="L46" s="117">
        <f>ROUND(ROUND(H46,3) * ROUND(K46,2),2)</f>
        <v>0</v>
      </c>
    </row>
    <row r="47" spans="1:12" x14ac:dyDescent="0.2">
      <c r="A47" s="124" t="s">
        <v>49</v>
      </c>
      <c r="B47" s="125"/>
      <c r="F47" s="119" t="s">
        <v>925</v>
      </c>
      <c r="L47" s="127"/>
    </row>
    <row r="48" spans="1:12" x14ac:dyDescent="0.2">
      <c r="A48" s="107" t="s">
        <v>51</v>
      </c>
      <c r="B48" s="125"/>
      <c r="F48" s="122" t="s">
        <v>926</v>
      </c>
      <c r="L48" s="127"/>
    </row>
    <row r="49" spans="1:12" ht="180.75" thickBot="1" x14ac:dyDescent="0.25">
      <c r="A49" s="124" t="s">
        <v>53</v>
      </c>
      <c r="B49" s="125"/>
      <c r="F49" s="123" t="s">
        <v>927</v>
      </c>
      <c r="L49" s="127"/>
    </row>
    <row r="50" spans="1:12" ht="11.25" customHeight="1" thickBot="1" x14ac:dyDescent="0.25">
      <c r="A50" s="124" t="s">
        <v>44</v>
      </c>
      <c r="B50" s="113">
        <v>10</v>
      </c>
      <c r="C50" s="114" t="s">
        <v>928</v>
      </c>
      <c r="D50" s="115" t="s">
        <v>60</v>
      </c>
      <c r="E50" s="115" t="s">
        <v>46</v>
      </c>
      <c r="F50" s="115" t="s">
        <v>929</v>
      </c>
      <c r="G50" s="114" t="s">
        <v>64</v>
      </c>
      <c r="H50" s="114">
        <f>ROUND(60.64,3)</f>
        <v>60.64</v>
      </c>
      <c r="I50" s="114">
        <v>0</v>
      </c>
      <c r="J50" s="114">
        <f>ROUND(H50,3) * I50</f>
        <v>0</v>
      </c>
      <c r="K50" s="116"/>
      <c r="L50" s="117">
        <f>ROUND(ROUND(H50,3) * ROUND(K50,2),2)</f>
        <v>0</v>
      </c>
    </row>
    <row r="51" spans="1:12" x14ac:dyDescent="0.2">
      <c r="A51" s="124" t="s">
        <v>49</v>
      </c>
      <c r="B51" s="125"/>
      <c r="F51" s="119" t="s">
        <v>17</v>
      </c>
      <c r="L51" s="127"/>
    </row>
    <row r="52" spans="1:12" ht="22.5" x14ac:dyDescent="0.2">
      <c r="A52" s="107" t="s">
        <v>51</v>
      </c>
      <c r="B52" s="125"/>
      <c r="F52" s="122" t="s">
        <v>930</v>
      </c>
      <c r="L52" s="127"/>
    </row>
    <row r="53" spans="1:12" ht="237" thickBot="1" x14ac:dyDescent="0.25">
      <c r="A53" s="124" t="s">
        <v>53</v>
      </c>
      <c r="B53" s="125"/>
      <c r="F53" s="123" t="s">
        <v>931</v>
      </c>
      <c r="L53" s="127"/>
    </row>
    <row r="54" spans="1:12" ht="11.25" customHeight="1" thickBot="1" x14ac:dyDescent="0.25">
      <c r="A54" s="124" t="s">
        <v>44</v>
      </c>
      <c r="B54" s="113">
        <v>11</v>
      </c>
      <c r="C54" s="114" t="s">
        <v>932</v>
      </c>
      <c r="D54" s="115" t="s">
        <v>60</v>
      </c>
      <c r="E54" s="115" t="s">
        <v>46</v>
      </c>
      <c r="F54" s="115" t="s">
        <v>933</v>
      </c>
      <c r="G54" s="114" t="s">
        <v>64</v>
      </c>
      <c r="H54" s="114">
        <f>ROUND(0.39,3)</f>
        <v>0.39</v>
      </c>
      <c r="I54" s="114">
        <v>0</v>
      </c>
      <c r="J54" s="114">
        <f>ROUND(H54,3) * I54</f>
        <v>0</v>
      </c>
      <c r="K54" s="116"/>
      <c r="L54" s="117">
        <f>ROUND(ROUND(H54,3) * ROUND(K54,2),2)</f>
        <v>0</v>
      </c>
    </row>
    <row r="55" spans="1:12" x14ac:dyDescent="0.2">
      <c r="A55" s="124" t="s">
        <v>49</v>
      </c>
      <c r="B55" s="125"/>
      <c r="F55" s="119" t="s">
        <v>934</v>
      </c>
      <c r="L55" s="127"/>
    </row>
    <row r="56" spans="1:12" x14ac:dyDescent="0.2">
      <c r="A56" s="107" t="s">
        <v>51</v>
      </c>
      <c r="B56" s="125"/>
      <c r="F56" s="122" t="s">
        <v>935</v>
      </c>
      <c r="L56" s="127"/>
    </row>
    <row r="57" spans="1:12" ht="203.25" thickBot="1" x14ac:dyDescent="0.25">
      <c r="A57" s="124" t="s">
        <v>53</v>
      </c>
      <c r="B57" s="125"/>
      <c r="F57" s="123" t="s">
        <v>936</v>
      </c>
      <c r="L57" s="127"/>
    </row>
    <row r="58" spans="1:12" ht="11.25" customHeight="1" thickBot="1" x14ac:dyDescent="0.25">
      <c r="A58" s="124" t="s">
        <v>44</v>
      </c>
      <c r="B58" s="113">
        <v>12</v>
      </c>
      <c r="C58" s="114" t="s">
        <v>857</v>
      </c>
      <c r="D58" s="115" t="s">
        <v>60</v>
      </c>
      <c r="E58" s="115" t="s">
        <v>46</v>
      </c>
      <c r="F58" s="115" t="s">
        <v>858</v>
      </c>
      <c r="G58" s="114" t="s">
        <v>81</v>
      </c>
      <c r="H58" s="114">
        <f>ROUND(54,3)</f>
        <v>54</v>
      </c>
      <c r="I58" s="114">
        <v>0</v>
      </c>
      <c r="J58" s="114">
        <f>ROUND(H58,3) * I58</f>
        <v>0</v>
      </c>
      <c r="K58" s="116"/>
      <c r="L58" s="117">
        <f>ROUND(ROUND(H58,3) * ROUND(K58,2),2)</f>
        <v>0</v>
      </c>
    </row>
    <row r="59" spans="1:12" x14ac:dyDescent="0.2">
      <c r="A59" s="124" t="s">
        <v>49</v>
      </c>
      <c r="B59" s="125"/>
      <c r="F59" s="119" t="s">
        <v>17</v>
      </c>
      <c r="L59" s="127"/>
    </row>
    <row r="60" spans="1:12" x14ac:dyDescent="0.2">
      <c r="A60" s="107" t="s">
        <v>51</v>
      </c>
      <c r="B60" s="125"/>
      <c r="F60" s="122" t="s">
        <v>937</v>
      </c>
      <c r="L60" s="127"/>
    </row>
    <row r="61" spans="1:12" ht="34.5" thickBot="1" x14ac:dyDescent="0.25">
      <c r="A61" s="124" t="s">
        <v>53</v>
      </c>
      <c r="B61" s="125"/>
      <c r="F61" s="123" t="s">
        <v>860</v>
      </c>
      <c r="L61" s="127"/>
    </row>
    <row r="62" spans="1:12" ht="11.25" customHeight="1" thickBot="1" x14ac:dyDescent="0.25">
      <c r="A62" s="124" t="s">
        <v>44</v>
      </c>
      <c r="B62" s="113">
        <v>13</v>
      </c>
      <c r="C62" s="114" t="s">
        <v>861</v>
      </c>
      <c r="D62" s="115" t="s">
        <v>60</v>
      </c>
      <c r="E62" s="115" t="s">
        <v>46</v>
      </c>
      <c r="F62" s="115" t="s">
        <v>862</v>
      </c>
      <c r="G62" s="114" t="s">
        <v>81</v>
      </c>
      <c r="H62" s="114">
        <f>ROUND(54,3)</f>
        <v>54</v>
      </c>
      <c r="I62" s="114">
        <v>0</v>
      </c>
      <c r="J62" s="114">
        <f>ROUND(H62,3) * I62</f>
        <v>0</v>
      </c>
      <c r="K62" s="116"/>
      <c r="L62" s="117">
        <f>ROUND(ROUND(H62,3) * ROUND(K62,2),2)</f>
        <v>0</v>
      </c>
    </row>
    <row r="63" spans="1:12" x14ac:dyDescent="0.2">
      <c r="A63" s="124" t="s">
        <v>49</v>
      </c>
      <c r="B63" s="125"/>
      <c r="F63" s="119" t="s">
        <v>17</v>
      </c>
      <c r="L63" s="127"/>
    </row>
    <row r="64" spans="1:12" x14ac:dyDescent="0.2">
      <c r="A64" s="107" t="s">
        <v>51</v>
      </c>
      <c r="B64" s="125"/>
      <c r="F64" s="122" t="s">
        <v>937</v>
      </c>
      <c r="L64" s="127"/>
    </row>
    <row r="65" spans="1:12" ht="23.25" thickBot="1" x14ac:dyDescent="0.25">
      <c r="A65" s="124" t="s">
        <v>53</v>
      </c>
      <c r="B65" s="125"/>
      <c r="F65" s="123" t="s">
        <v>863</v>
      </c>
      <c r="L65" s="127"/>
    </row>
    <row r="66" spans="1:12" ht="13.5" customHeight="1" thickBot="1" x14ac:dyDescent="0.25">
      <c r="B66" s="128" t="s">
        <v>58</v>
      </c>
      <c r="C66" s="129" t="s">
        <v>59</v>
      </c>
      <c r="D66" s="130"/>
      <c r="E66" s="130"/>
      <c r="F66" s="130" t="s">
        <v>61</v>
      </c>
      <c r="G66" s="130"/>
      <c r="H66" s="130"/>
      <c r="I66" s="130"/>
      <c r="J66" s="130"/>
      <c r="K66" s="130"/>
      <c r="L66" s="131">
        <f>SUM(L14:L65)</f>
        <v>0</v>
      </c>
    </row>
    <row r="67" spans="1:12" ht="20.100000000000001" customHeight="1" thickBot="1" x14ac:dyDescent="0.25">
      <c r="A67" s="124" t="s">
        <v>40</v>
      </c>
      <c r="B67" s="132" t="s">
        <v>41</v>
      </c>
      <c r="C67" s="109" t="s">
        <v>198</v>
      </c>
      <c r="D67" s="110"/>
      <c r="E67" s="110"/>
      <c r="F67" s="111" t="s">
        <v>864</v>
      </c>
      <c r="G67" s="110"/>
      <c r="H67" s="110"/>
      <c r="I67" s="110"/>
      <c r="J67" s="110"/>
      <c r="K67" s="110"/>
      <c r="L67" s="112"/>
    </row>
    <row r="68" spans="1:12" ht="11.25" customHeight="1" thickBot="1" x14ac:dyDescent="0.25">
      <c r="A68" s="124" t="s">
        <v>44</v>
      </c>
      <c r="B68" s="113">
        <v>14</v>
      </c>
      <c r="C68" s="114" t="s">
        <v>865</v>
      </c>
      <c r="D68" s="115" t="s">
        <v>60</v>
      </c>
      <c r="E68" s="115" t="s">
        <v>46</v>
      </c>
      <c r="F68" s="115" t="s">
        <v>866</v>
      </c>
      <c r="G68" s="114" t="s">
        <v>64</v>
      </c>
      <c r="H68" s="114">
        <f>ROUND(0.672,3)</f>
        <v>0.67200000000000004</v>
      </c>
      <c r="I68" s="114">
        <v>0</v>
      </c>
      <c r="J68" s="114">
        <f>ROUND(H68,3) * I68</f>
        <v>0</v>
      </c>
      <c r="K68" s="116"/>
      <c r="L68" s="117">
        <f>ROUND(ROUND(H68,3) * ROUND(K68,2),2)</f>
        <v>0</v>
      </c>
    </row>
    <row r="69" spans="1:12" x14ac:dyDescent="0.2">
      <c r="A69" s="124" t="s">
        <v>49</v>
      </c>
      <c r="B69" s="125"/>
      <c r="F69" s="119" t="s">
        <v>17</v>
      </c>
      <c r="L69" s="127"/>
    </row>
    <row r="70" spans="1:12" x14ac:dyDescent="0.2">
      <c r="A70" s="107" t="s">
        <v>51</v>
      </c>
      <c r="B70" s="125"/>
      <c r="F70" s="122" t="s">
        <v>867</v>
      </c>
      <c r="L70" s="127"/>
    </row>
    <row r="71" spans="1:12" ht="282" thickBot="1" x14ac:dyDescent="0.25">
      <c r="A71" s="124" t="s">
        <v>53</v>
      </c>
      <c r="B71" s="125"/>
      <c r="F71" s="123" t="s">
        <v>868</v>
      </c>
      <c r="L71" s="127"/>
    </row>
    <row r="72" spans="1:12" ht="11.25" customHeight="1" thickBot="1" x14ac:dyDescent="0.25">
      <c r="A72" s="124" t="s">
        <v>44</v>
      </c>
      <c r="B72" s="113">
        <v>15</v>
      </c>
      <c r="C72" s="114" t="s">
        <v>869</v>
      </c>
      <c r="D72" s="115" t="s">
        <v>60</v>
      </c>
      <c r="E72" s="115" t="s">
        <v>46</v>
      </c>
      <c r="F72" s="115" t="s">
        <v>870</v>
      </c>
      <c r="G72" s="114" t="s">
        <v>64</v>
      </c>
      <c r="H72" s="114">
        <f>ROUND(4.727,3)</f>
        <v>4.7270000000000003</v>
      </c>
      <c r="I72" s="114">
        <v>0</v>
      </c>
      <c r="J72" s="114">
        <f>ROUND(H72,3) * I72</f>
        <v>0</v>
      </c>
      <c r="K72" s="116"/>
      <c r="L72" s="117">
        <f>ROUND(ROUND(H72,3) * ROUND(K72,2),2)</f>
        <v>0</v>
      </c>
    </row>
    <row r="73" spans="1:12" x14ac:dyDescent="0.2">
      <c r="A73" s="124" t="s">
        <v>49</v>
      </c>
      <c r="B73" s="125"/>
      <c r="F73" s="119" t="s">
        <v>17</v>
      </c>
      <c r="L73" s="127"/>
    </row>
    <row r="74" spans="1:12" ht="22.5" x14ac:dyDescent="0.2">
      <c r="A74" s="107" t="s">
        <v>51</v>
      </c>
      <c r="B74" s="125"/>
      <c r="F74" s="122" t="s">
        <v>938</v>
      </c>
      <c r="L74" s="127"/>
    </row>
    <row r="75" spans="1:12" ht="282" thickBot="1" x14ac:dyDescent="0.25">
      <c r="A75" s="124" t="s">
        <v>53</v>
      </c>
      <c r="B75" s="125"/>
      <c r="F75" s="123" t="s">
        <v>868</v>
      </c>
      <c r="L75" s="127"/>
    </row>
    <row r="76" spans="1:12" ht="11.25" customHeight="1" thickBot="1" x14ac:dyDescent="0.25">
      <c r="A76" s="124" t="s">
        <v>44</v>
      </c>
      <c r="B76" s="113">
        <v>16</v>
      </c>
      <c r="C76" s="114" t="s">
        <v>872</v>
      </c>
      <c r="D76" s="115" t="s">
        <v>60</v>
      </c>
      <c r="E76" s="115" t="s">
        <v>46</v>
      </c>
      <c r="F76" s="115" t="s">
        <v>873</v>
      </c>
      <c r="G76" s="114" t="s">
        <v>510</v>
      </c>
      <c r="H76" s="114">
        <f>ROUND(0.062,3)</f>
        <v>6.2E-2</v>
      </c>
      <c r="I76" s="114">
        <v>0</v>
      </c>
      <c r="J76" s="114">
        <f>ROUND(H76,3) * I76</f>
        <v>0</v>
      </c>
      <c r="K76" s="116"/>
      <c r="L76" s="117">
        <f>ROUND(ROUND(H76,3) * ROUND(K76,2),2)</f>
        <v>0</v>
      </c>
    </row>
    <row r="77" spans="1:12" x14ac:dyDescent="0.2">
      <c r="A77" s="124" t="s">
        <v>49</v>
      </c>
      <c r="B77" s="125"/>
      <c r="F77" s="119" t="s">
        <v>17</v>
      </c>
      <c r="L77" s="127"/>
    </row>
    <row r="78" spans="1:12" x14ac:dyDescent="0.2">
      <c r="A78" s="107" t="s">
        <v>51</v>
      </c>
      <c r="B78" s="125"/>
      <c r="F78" s="122" t="s">
        <v>874</v>
      </c>
      <c r="L78" s="127"/>
    </row>
    <row r="79" spans="1:12" ht="225.75" thickBot="1" x14ac:dyDescent="0.25">
      <c r="A79" s="124" t="s">
        <v>53</v>
      </c>
      <c r="B79" s="125"/>
      <c r="F79" s="123" t="s">
        <v>875</v>
      </c>
      <c r="L79" s="127"/>
    </row>
    <row r="80" spans="1:12" ht="11.25" customHeight="1" thickBot="1" x14ac:dyDescent="0.25">
      <c r="A80" s="124" t="s">
        <v>44</v>
      </c>
      <c r="B80" s="113">
        <v>17</v>
      </c>
      <c r="C80" s="114" t="s">
        <v>876</v>
      </c>
      <c r="D80" s="115" t="s">
        <v>60</v>
      </c>
      <c r="E80" s="115" t="s">
        <v>46</v>
      </c>
      <c r="F80" s="115" t="s">
        <v>877</v>
      </c>
      <c r="G80" s="114" t="s">
        <v>510</v>
      </c>
      <c r="H80" s="114">
        <f>ROUND(0.135,3)</f>
        <v>0.13500000000000001</v>
      </c>
      <c r="I80" s="114">
        <v>0</v>
      </c>
      <c r="J80" s="114">
        <f>ROUND(H80,3) * I80</f>
        <v>0</v>
      </c>
      <c r="K80" s="116"/>
      <c r="L80" s="117">
        <f>ROUND(ROUND(H80,3) * ROUND(K80,2),2)</f>
        <v>0</v>
      </c>
    </row>
    <row r="81" spans="1:12" x14ac:dyDescent="0.2">
      <c r="A81" s="124" t="s">
        <v>49</v>
      </c>
      <c r="B81" s="125"/>
      <c r="F81" s="119" t="s">
        <v>17</v>
      </c>
      <c r="L81" s="127"/>
    </row>
    <row r="82" spans="1:12" x14ac:dyDescent="0.2">
      <c r="A82" s="107" t="s">
        <v>51</v>
      </c>
      <c r="B82" s="125"/>
      <c r="F82" s="122" t="s">
        <v>939</v>
      </c>
      <c r="L82" s="127"/>
    </row>
    <row r="83" spans="1:12" ht="225.75" thickBot="1" x14ac:dyDescent="0.25">
      <c r="A83" s="124" t="s">
        <v>53</v>
      </c>
      <c r="B83" s="125"/>
      <c r="F83" s="123" t="s">
        <v>875</v>
      </c>
      <c r="L83" s="127"/>
    </row>
    <row r="84" spans="1:12" ht="13.5" customHeight="1" thickBot="1" x14ac:dyDescent="0.25">
      <c r="B84" s="128" t="s">
        <v>58</v>
      </c>
      <c r="C84" s="129" t="s">
        <v>59</v>
      </c>
      <c r="D84" s="130"/>
      <c r="E84" s="130"/>
      <c r="F84" s="130" t="s">
        <v>864</v>
      </c>
      <c r="G84" s="130"/>
      <c r="H84" s="130"/>
      <c r="I84" s="130"/>
      <c r="J84" s="130"/>
      <c r="K84" s="130"/>
      <c r="L84" s="131">
        <f>SUM(L68:L83)</f>
        <v>0</v>
      </c>
    </row>
    <row r="85" spans="1:12" ht="20.100000000000001" customHeight="1" thickBot="1" x14ac:dyDescent="0.25">
      <c r="A85" s="124" t="s">
        <v>40</v>
      </c>
      <c r="B85" s="132" t="s">
        <v>41</v>
      </c>
      <c r="C85" s="109" t="s">
        <v>647</v>
      </c>
      <c r="D85" s="110"/>
      <c r="E85" s="110"/>
      <c r="F85" s="111" t="s">
        <v>648</v>
      </c>
      <c r="G85" s="110"/>
      <c r="H85" s="110"/>
      <c r="I85" s="110"/>
      <c r="J85" s="110"/>
      <c r="K85" s="110"/>
      <c r="L85" s="112"/>
    </row>
    <row r="86" spans="1:12" ht="11.25" customHeight="1" thickBot="1" x14ac:dyDescent="0.25">
      <c r="A86" s="124" t="s">
        <v>44</v>
      </c>
      <c r="B86" s="113">
        <v>18</v>
      </c>
      <c r="C86" s="114" t="s">
        <v>879</v>
      </c>
      <c r="D86" s="115" t="s">
        <v>60</v>
      </c>
      <c r="E86" s="115" t="s">
        <v>46</v>
      </c>
      <c r="F86" s="115" t="s">
        <v>880</v>
      </c>
      <c r="G86" s="114" t="s">
        <v>64</v>
      </c>
      <c r="H86" s="114">
        <f>ROUND(5.18,3)</f>
        <v>5.18</v>
      </c>
      <c r="I86" s="114">
        <v>0</v>
      </c>
      <c r="J86" s="114">
        <f>ROUND(H86,3) * I86</f>
        <v>0</v>
      </c>
      <c r="K86" s="116"/>
      <c r="L86" s="117">
        <f>ROUND(ROUND(H86,3) * ROUND(K86,2),2)</f>
        <v>0</v>
      </c>
    </row>
    <row r="87" spans="1:12" x14ac:dyDescent="0.2">
      <c r="A87" s="124" t="s">
        <v>49</v>
      </c>
      <c r="B87" s="125"/>
      <c r="F87" s="119" t="s">
        <v>17</v>
      </c>
      <c r="L87" s="127"/>
    </row>
    <row r="88" spans="1:12" x14ac:dyDescent="0.2">
      <c r="A88" s="107" t="s">
        <v>51</v>
      </c>
      <c r="B88" s="125"/>
      <c r="F88" s="122" t="s">
        <v>940</v>
      </c>
      <c r="L88" s="127"/>
    </row>
    <row r="89" spans="1:12" ht="282" thickBot="1" x14ac:dyDescent="0.25">
      <c r="A89" s="124" t="s">
        <v>53</v>
      </c>
      <c r="B89" s="125"/>
      <c r="F89" s="123" t="s">
        <v>882</v>
      </c>
      <c r="L89" s="127"/>
    </row>
    <row r="90" spans="1:12" ht="11.25" customHeight="1" thickBot="1" x14ac:dyDescent="0.25">
      <c r="A90" s="124" t="s">
        <v>44</v>
      </c>
      <c r="B90" s="113">
        <v>19</v>
      </c>
      <c r="C90" s="114" t="s">
        <v>649</v>
      </c>
      <c r="D90" s="115" t="s">
        <v>60</v>
      </c>
      <c r="E90" s="115" t="s">
        <v>46</v>
      </c>
      <c r="F90" s="115" t="s">
        <v>650</v>
      </c>
      <c r="G90" s="114" t="s">
        <v>64</v>
      </c>
      <c r="H90" s="114">
        <f>ROUND(2.08,3)</f>
        <v>2.08</v>
      </c>
      <c r="I90" s="114">
        <v>0</v>
      </c>
      <c r="J90" s="114">
        <f>ROUND(H90,3) * I90</f>
        <v>0</v>
      </c>
      <c r="K90" s="116"/>
      <c r="L90" s="117">
        <f>ROUND(ROUND(H90,3) * ROUND(K90,2),2)</f>
        <v>0</v>
      </c>
    </row>
    <row r="91" spans="1:12" x14ac:dyDescent="0.2">
      <c r="A91" s="124" t="s">
        <v>49</v>
      </c>
      <c r="B91" s="125"/>
      <c r="F91" s="119" t="s">
        <v>17</v>
      </c>
      <c r="L91" s="127"/>
    </row>
    <row r="92" spans="1:12" x14ac:dyDescent="0.2">
      <c r="A92" s="107" t="s">
        <v>51</v>
      </c>
      <c r="B92" s="125"/>
      <c r="F92" s="122" t="s">
        <v>941</v>
      </c>
      <c r="L92" s="127"/>
    </row>
    <row r="93" spans="1:12" ht="282" thickBot="1" x14ac:dyDescent="0.25">
      <c r="A93" s="124" t="s">
        <v>53</v>
      </c>
      <c r="B93" s="125"/>
      <c r="F93" s="123" t="s">
        <v>882</v>
      </c>
      <c r="L93" s="127"/>
    </row>
    <row r="94" spans="1:12" ht="11.25" customHeight="1" thickBot="1" x14ac:dyDescent="0.25">
      <c r="A94" s="124" t="s">
        <v>44</v>
      </c>
      <c r="B94" s="113">
        <v>20</v>
      </c>
      <c r="C94" s="114" t="s">
        <v>884</v>
      </c>
      <c r="D94" s="115" t="s">
        <v>60</v>
      </c>
      <c r="E94" s="115" t="s">
        <v>46</v>
      </c>
      <c r="F94" s="115" t="s">
        <v>885</v>
      </c>
      <c r="G94" s="114" t="s">
        <v>64</v>
      </c>
      <c r="H94" s="114">
        <f>ROUND(2.7,3)</f>
        <v>2.7</v>
      </c>
      <c r="I94" s="114">
        <v>0</v>
      </c>
      <c r="J94" s="114">
        <f>ROUND(H94,3) * I94</f>
        <v>0</v>
      </c>
      <c r="K94" s="116"/>
      <c r="L94" s="117">
        <f>ROUND(ROUND(H94,3) * ROUND(K94,2),2)</f>
        <v>0</v>
      </c>
    </row>
    <row r="95" spans="1:12" x14ac:dyDescent="0.2">
      <c r="A95" s="124" t="s">
        <v>49</v>
      </c>
      <c r="B95" s="125"/>
      <c r="F95" s="119" t="s">
        <v>17</v>
      </c>
      <c r="L95" s="127"/>
    </row>
    <row r="96" spans="1:12" x14ac:dyDescent="0.2">
      <c r="A96" s="107" t="s">
        <v>51</v>
      </c>
      <c r="B96" s="125"/>
      <c r="F96" s="122" t="s">
        <v>942</v>
      </c>
      <c r="L96" s="127"/>
    </row>
    <row r="97" spans="1:12" ht="90.75" thickBot="1" x14ac:dyDescent="0.25">
      <c r="A97" s="124" t="s">
        <v>53</v>
      </c>
      <c r="B97" s="125"/>
      <c r="F97" s="123" t="s">
        <v>887</v>
      </c>
      <c r="L97" s="127"/>
    </row>
    <row r="98" spans="1:12" ht="11.25" customHeight="1" thickBot="1" x14ac:dyDescent="0.25">
      <c r="A98" s="124" t="s">
        <v>44</v>
      </c>
      <c r="B98" s="113">
        <v>21</v>
      </c>
      <c r="C98" s="114" t="s">
        <v>943</v>
      </c>
      <c r="D98" s="115" t="s">
        <v>60</v>
      </c>
      <c r="E98" s="115" t="s">
        <v>46</v>
      </c>
      <c r="F98" s="115" t="s">
        <v>944</v>
      </c>
      <c r="G98" s="114" t="s">
        <v>64</v>
      </c>
      <c r="H98" s="114">
        <f>ROUND(3.8,3)</f>
        <v>3.8</v>
      </c>
      <c r="I98" s="114">
        <v>0</v>
      </c>
      <c r="J98" s="114">
        <f>ROUND(H98,3) * I98</f>
        <v>0</v>
      </c>
      <c r="K98" s="116"/>
      <c r="L98" s="117">
        <f>ROUND(ROUND(H98,3) * ROUND(K98,2),2)</f>
        <v>0</v>
      </c>
    </row>
    <row r="99" spans="1:12" x14ac:dyDescent="0.2">
      <c r="A99" s="124" t="s">
        <v>49</v>
      </c>
      <c r="B99" s="125"/>
      <c r="F99" s="119" t="s">
        <v>17</v>
      </c>
      <c r="L99" s="127"/>
    </row>
    <row r="100" spans="1:12" x14ac:dyDescent="0.2">
      <c r="A100" s="107" t="s">
        <v>51</v>
      </c>
      <c r="B100" s="125"/>
      <c r="F100" s="122" t="s">
        <v>945</v>
      </c>
      <c r="L100" s="127"/>
    </row>
    <row r="101" spans="1:12" ht="45.75" thickBot="1" x14ac:dyDescent="0.25">
      <c r="A101" s="124" t="s">
        <v>53</v>
      </c>
      <c r="B101" s="125"/>
      <c r="F101" s="123" t="s">
        <v>946</v>
      </c>
      <c r="L101" s="127"/>
    </row>
    <row r="102" spans="1:12" ht="13.5" customHeight="1" thickBot="1" x14ac:dyDescent="0.25">
      <c r="B102" s="128" t="s">
        <v>58</v>
      </c>
      <c r="C102" s="129" t="s">
        <v>59</v>
      </c>
      <c r="D102" s="130"/>
      <c r="E102" s="130"/>
      <c r="F102" s="130" t="s">
        <v>648</v>
      </c>
      <c r="G102" s="130"/>
      <c r="H102" s="130"/>
      <c r="I102" s="130"/>
      <c r="J102" s="130"/>
      <c r="K102" s="130"/>
      <c r="L102" s="131">
        <f>SUM(L86:L101)</f>
        <v>0</v>
      </c>
    </row>
    <row r="103" spans="1:12" ht="20.100000000000001" customHeight="1" thickBot="1" x14ac:dyDescent="0.25">
      <c r="A103" s="124" t="s">
        <v>40</v>
      </c>
      <c r="B103" s="132" t="s">
        <v>41</v>
      </c>
      <c r="C103" s="109" t="s">
        <v>425</v>
      </c>
      <c r="D103" s="110"/>
      <c r="E103" s="110"/>
      <c r="F103" s="111" t="s">
        <v>947</v>
      </c>
      <c r="G103" s="110"/>
      <c r="H103" s="110"/>
      <c r="I103" s="110"/>
      <c r="J103" s="110"/>
      <c r="K103" s="110"/>
      <c r="L103" s="112"/>
    </row>
    <row r="104" spans="1:12" ht="11.25" customHeight="1" thickBot="1" x14ac:dyDescent="0.25">
      <c r="A104" s="124" t="s">
        <v>44</v>
      </c>
      <c r="B104" s="113">
        <v>22</v>
      </c>
      <c r="C104" s="114" t="s">
        <v>576</v>
      </c>
      <c r="D104" s="115" t="s">
        <v>60</v>
      </c>
      <c r="E104" s="115" t="s">
        <v>46</v>
      </c>
      <c r="F104" s="115" t="s">
        <v>577</v>
      </c>
      <c r="G104" s="114" t="s">
        <v>64</v>
      </c>
      <c r="H104" s="114">
        <f>ROUND(15.53,3)</f>
        <v>15.53</v>
      </c>
      <c r="I104" s="114">
        <v>0</v>
      </c>
      <c r="J104" s="114">
        <f>ROUND(H104,3) * I104</f>
        <v>0</v>
      </c>
      <c r="K104" s="116"/>
      <c r="L104" s="117">
        <f>ROUND(ROUND(H104,3) * ROUND(K104,2),2)</f>
        <v>0</v>
      </c>
    </row>
    <row r="105" spans="1:12" x14ac:dyDescent="0.2">
      <c r="A105" s="124" t="s">
        <v>49</v>
      </c>
      <c r="B105" s="125"/>
      <c r="F105" s="119" t="s">
        <v>17</v>
      </c>
      <c r="L105" s="127"/>
    </row>
    <row r="106" spans="1:12" x14ac:dyDescent="0.2">
      <c r="A106" s="107" t="s">
        <v>51</v>
      </c>
      <c r="B106" s="125"/>
      <c r="F106" s="122" t="s">
        <v>948</v>
      </c>
      <c r="L106" s="127"/>
    </row>
    <row r="107" spans="1:12" ht="203.25" thickBot="1" x14ac:dyDescent="0.25">
      <c r="A107" s="124" t="s">
        <v>53</v>
      </c>
      <c r="B107" s="125"/>
      <c r="F107" s="123" t="s">
        <v>579</v>
      </c>
      <c r="L107" s="127"/>
    </row>
    <row r="108" spans="1:12" ht="13.5" customHeight="1" thickBot="1" x14ac:dyDescent="0.25">
      <c r="B108" s="128" t="s">
        <v>58</v>
      </c>
      <c r="C108" s="129" t="s">
        <v>59</v>
      </c>
      <c r="D108" s="130"/>
      <c r="E108" s="130"/>
      <c r="F108" s="130" t="s">
        <v>947</v>
      </c>
      <c r="G108" s="130"/>
      <c r="H108" s="130"/>
      <c r="I108" s="130"/>
      <c r="J108" s="130"/>
      <c r="K108" s="130"/>
      <c r="L108" s="131">
        <f>SUM(L104:L107)</f>
        <v>0</v>
      </c>
    </row>
    <row r="109" spans="1:12" ht="20.100000000000001" customHeight="1" thickBot="1" x14ac:dyDescent="0.25">
      <c r="A109" s="124" t="s">
        <v>40</v>
      </c>
      <c r="B109" s="132" t="s">
        <v>41</v>
      </c>
      <c r="C109" s="109" t="s">
        <v>888</v>
      </c>
      <c r="D109" s="110"/>
      <c r="E109" s="110"/>
      <c r="F109" s="111" t="s">
        <v>889</v>
      </c>
      <c r="G109" s="110"/>
      <c r="H109" s="110"/>
      <c r="I109" s="110"/>
      <c r="J109" s="110"/>
      <c r="K109" s="110"/>
      <c r="L109" s="112"/>
    </row>
    <row r="110" spans="1:12" ht="11.25" customHeight="1" thickBot="1" x14ac:dyDescent="0.25">
      <c r="A110" s="124" t="s">
        <v>44</v>
      </c>
      <c r="B110" s="113">
        <v>23</v>
      </c>
      <c r="C110" s="114" t="s">
        <v>890</v>
      </c>
      <c r="D110" s="115" t="s">
        <v>60</v>
      </c>
      <c r="E110" s="115" t="s">
        <v>46</v>
      </c>
      <c r="F110" s="115" t="s">
        <v>891</v>
      </c>
      <c r="G110" s="114" t="s">
        <v>81</v>
      </c>
      <c r="H110" s="114">
        <f>ROUND(4,3)</f>
        <v>4</v>
      </c>
      <c r="I110" s="114">
        <v>0</v>
      </c>
      <c r="J110" s="114">
        <f>ROUND(H110,3) * I110</f>
        <v>0</v>
      </c>
      <c r="K110" s="116"/>
      <c r="L110" s="117">
        <f>ROUND(ROUND(H110,3) * ROUND(K110,2),2)</f>
        <v>0</v>
      </c>
    </row>
    <row r="111" spans="1:12" x14ac:dyDescent="0.2">
      <c r="A111" s="124" t="s">
        <v>49</v>
      </c>
      <c r="B111" s="125"/>
      <c r="F111" s="119" t="s">
        <v>892</v>
      </c>
      <c r="L111" s="127"/>
    </row>
    <row r="112" spans="1:12" x14ac:dyDescent="0.2">
      <c r="A112" s="107" t="s">
        <v>51</v>
      </c>
      <c r="B112" s="125"/>
      <c r="F112" s="122" t="s">
        <v>471</v>
      </c>
      <c r="L112" s="127"/>
    </row>
    <row r="113" spans="1:12" ht="57" thickBot="1" x14ac:dyDescent="0.25">
      <c r="A113" s="124" t="s">
        <v>53</v>
      </c>
      <c r="B113" s="125"/>
      <c r="F113" s="123" t="s">
        <v>894</v>
      </c>
      <c r="L113" s="127"/>
    </row>
    <row r="114" spans="1:12" ht="13.5" customHeight="1" thickBot="1" x14ac:dyDescent="0.25">
      <c r="B114" s="128" t="s">
        <v>58</v>
      </c>
      <c r="C114" s="129" t="s">
        <v>59</v>
      </c>
      <c r="D114" s="130"/>
      <c r="E114" s="130"/>
      <c r="F114" s="130" t="s">
        <v>889</v>
      </c>
      <c r="G114" s="130"/>
      <c r="H114" s="130"/>
      <c r="I114" s="130"/>
      <c r="J114" s="130"/>
      <c r="K114" s="130"/>
      <c r="L114" s="131">
        <f>SUM(L110:L113)</f>
        <v>0</v>
      </c>
    </row>
    <row r="115" spans="1:12" ht="20.100000000000001" customHeight="1" thickBot="1" x14ac:dyDescent="0.25">
      <c r="A115" s="124" t="s">
        <v>40</v>
      </c>
      <c r="B115" s="132" t="s">
        <v>41</v>
      </c>
      <c r="C115" s="109" t="s">
        <v>895</v>
      </c>
      <c r="D115" s="110"/>
      <c r="E115" s="110"/>
      <c r="F115" s="111" t="s">
        <v>896</v>
      </c>
      <c r="G115" s="110"/>
      <c r="H115" s="110"/>
      <c r="I115" s="110"/>
      <c r="J115" s="110"/>
      <c r="K115" s="110"/>
      <c r="L115" s="112"/>
    </row>
    <row r="116" spans="1:12" ht="11.25" customHeight="1" thickBot="1" x14ac:dyDescent="0.25">
      <c r="A116" s="124" t="s">
        <v>44</v>
      </c>
      <c r="B116" s="113">
        <v>24</v>
      </c>
      <c r="C116" s="114" t="s">
        <v>897</v>
      </c>
      <c r="D116" s="115" t="s">
        <v>60</v>
      </c>
      <c r="E116" s="115" t="s">
        <v>46</v>
      </c>
      <c r="F116" s="115" t="s">
        <v>898</v>
      </c>
      <c r="G116" s="114" t="s">
        <v>81</v>
      </c>
      <c r="H116" s="114">
        <f>ROUND(53.386,3)</f>
        <v>53.386000000000003</v>
      </c>
      <c r="I116" s="114">
        <v>0</v>
      </c>
      <c r="J116" s="114">
        <f>ROUND(H116,3) * I116</f>
        <v>0</v>
      </c>
      <c r="K116" s="116"/>
      <c r="L116" s="117">
        <f>ROUND(ROUND(H116,3) * ROUND(K116,2),2)</f>
        <v>0</v>
      </c>
    </row>
    <row r="117" spans="1:12" x14ac:dyDescent="0.2">
      <c r="A117" s="124" t="s">
        <v>49</v>
      </c>
      <c r="B117" s="125"/>
      <c r="F117" s="119" t="s">
        <v>17</v>
      </c>
      <c r="L117" s="127"/>
    </row>
    <row r="118" spans="1:12" x14ac:dyDescent="0.2">
      <c r="A118" s="107" t="s">
        <v>51</v>
      </c>
      <c r="B118" s="125"/>
      <c r="F118" s="122" t="s">
        <v>949</v>
      </c>
      <c r="L118" s="127"/>
    </row>
    <row r="119" spans="1:12" ht="158.25" thickBot="1" x14ac:dyDescent="0.25">
      <c r="A119" s="124" t="s">
        <v>53</v>
      </c>
      <c r="B119" s="125"/>
      <c r="F119" s="123" t="s">
        <v>115</v>
      </c>
      <c r="L119" s="127"/>
    </row>
    <row r="120" spans="1:12" ht="13.5" customHeight="1" thickBot="1" x14ac:dyDescent="0.25">
      <c r="B120" s="128" t="s">
        <v>58</v>
      </c>
      <c r="C120" s="129" t="s">
        <v>59</v>
      </c>
      <c r="D120" s="130"/>
      <c r="E120" s="130"/>
      <c r="F120" s="130" t="s">
        <v>896</v>
      </c>
      <c r="G120" s="130"/>
      <c r="H120" s="130"/>
      <c r="I120" s="130"/>
      <c r="J120" s="130"/>
      <c r="K120" s="130"/>
      <c r="L120" s="131">
        <f>SUM(L116:L119)</f>
        <v>0</v>
      </c>
    </row>
    <row r="121" spans="1:12" ht="20.100000000000001" customHeight="1" thickBot="1" x14ac:dyDescent="0.25">
      <c r="A121" s="124" t="s">
        <v>40</v>
      </c>
      <c r="B121" s="132" t="s">
        <v>41</v>
      </c>
      <c r="C121" s="109" t="s">
        <v>382</v>
      </c>
      <c r="D121" s="110"/>
      <c r="E121" s="110"/>
      <c r="F121" s="111" t="s">
        <v>435</v>
      </c>
      <c r="G121" s="110"/>
      <c r="H121" s="110"/>
      <c r="I121" s="110"/>
      <c r="J121" s="110"/>
      <c r="K121" s="110"/>
      <c r="L121" s="112"/>
    </row>
    <row r="122" spans="1:12" ht="11.25" customHeight="1" thickBot="1" x14ac:dyDescent="0.25">
      <c r="A122" s="124" t="s">
        <v>44</v>
      </c>
      <c r="B122" s="113">
        <v>25</v>
      </c>
      <c r="C122" s="114" t="s">
        <v>900</v>
      </c>
      <c r="D122" s="115" t="s">
        <v>60</v>
      </c>
      <c r="E122" s="115" t="s">
        <v>46</v>
      </c>
      <c r="F122" s="115" t="s">
        <v>901</v>
      </c>
      <c r="G122" s="114" t="s">
        <v>69</v>
      </c>
      <c r="H122" s="114">
        <f>ROUND(13.9,3)</f>
        <v>13.9</v>
      </c>
      <c r="I122" s="114">
        <v>0</v>
      </c>
      <c r="J122" s="114">
        <f>ROUND(H122,3) * I122</f>
        <v>0</v>
      </c>
      <c r="K122" s="116"/>
      <c r="L122" s="117">
        <f>ROUND(ROUND(H122,3) * ROUND(K122,2),2)</f>
        <v>0</v>
      </c>
    </row>
    <row r="123" spans="1:12" x14ac:dyDescent="0.2">
      <c r="A123" s="124" t="s">
        <v>49</v>
      </c>
      <c r="B123" s="125"/>
      <c r="F123" s="119" t="s">
        <v>17</v>
      </c>
      <c r="L123" s="127"/>
    </row>
    <row r="124" spans="1:12" x14ac:dyDescent="0.2">
      <c r="A124" s="107" t="s">
        <v>51</v>
      </c>
      <c r="B124" s="125"/>
      <c r="F124" s="122" t="s">
        <v>950</v>
      </c>
      <c r="L124" s="127"/>
    </row>
    <row r="125" spans="1:12" ht="45.75" thickBot="1" x14ac:dyDescent="0.25">
      <c r="A125" s="124" t="s">
        <v>53</v>
      </c>
      <c r="B125" s="125"/>
      <c r="F125" s="123" t="s">
        <v>903</v>
      </c>
      <c r="L125" s="127"/>
    </row>
    <row r="126" spans="1:12" ht="11.25" customHeight="1" thickBot="1" x14ac:dyDescent="0.25">
      <c r="A126" s="124" t="s">
        <v>44</v>
      </c>
      <c r="B126" s="113">
        <v>26</v>
      </c>
      <c r="C126" s="114" t="s">
        <v>908</v>
      </c>
      <c r="D126" s="115" t="s">
        <v>60</v>
      </c>
      <c r="E126" s="115" t="s">
        <v>46</v>
      </c>
      <c r="F126" s="115" t="s">
        <v>909</v>
      </c>
      <c r="G126" s="114" t="s">
        <v>64</v>
      </c>
      <c r="H126" s="114">
        <f>ROUND(0.003,3)</f>
        <v>3.0000000000000001E-3</v>
      </c>
      <c r="I126" s="114">
        <v>0</v>
      </c>
      <c r="J126" s="114">
        <f>ROUND(H126,3) * I126</f>
        <v>0</v>
      </c>
      <c r="K126" s="116"/>
      <c r="L126" s="117">
        <f>ROUND(ROUND(H126,3) * ROUND(K126,2),2)</f>
        <v>0</v>
      </c>
    </row>
    <row r="127" spans="1:12" x14ac:dyDescent="0.2">
      <c r="A127" s="124" t="s">
        <v>49</v>
      </c>
      <c r="B127" s="125"/>
      <c r="F127" s="119" t="s">
        <v>910</v>
      </c>
      <c r="L127" s="127"/>
    </row>
    <row r="128" spans="1:12" x14ac:dyDescent="0.2">
      <c r="A128" s="107" t="s">
        <v>51</v>
      </c>
      <c r="B128" s="125"/>
      <c r="F128" s="122" t="s">
        <v>911</v>
      </c>
      <c r="L128" s="127"/>
    </row>
    <row r="129" spans="1:12" ht="169.5" thickBot="1" x14ac:dyDescent="0.25">
      <c r="A129" s="124" t="s">
        <v>53</v>
      </c>
      <c r="B129" s="125"/>
      <c r="F129" s="123" t="s">
        <v>605</v>
      </c>
      <c r="L129" s="127"/>
    </row>
    <row r="130" spans="1:12" ht="11.25" customHeight="1" thickBot="1" x14ac:dyDescent="0.25">
      <c r="A130" s="124" t="s">
        <v>44</v>
      </c>
      <c r="B130" s="113">
        <v>27</v>
      </c>
      <c r="C130" s="114" t="s">
        <v>951</v>
      </c>
      <c r="D130" s="115" t="s">
        <v>60</v>
      </c>
      <c r="E130" s="115" t="s">
        <v>46</v>
      </c>
      <c r="F130" s="115" t="s">
        <v>952</v>
      </c>
      <c r="G130" s="114" t="s">
        <v>64</v>
      </c>
      <c r="H130" s="114">
        <f>ROUND(17.26,3)</f>
        <v>17.260000000000002</v>
      </c>
      <c r="I130" s="114">
        <v>0</v>
      </c>
      <c r="J130" s="114">
        <f>ROUND(H130,3) * I130</f>
        <v>0</v>
      </c>
      <c r="K130" s="116"/>
      <c r="L130" s="117">
        <f>ROUND(ROUND(H130,3) * ROUND(K130,2),2)</f>
        <v>0</v>
      </c>
    </row>
    <row r="131" spans="1:12" x14ac:dyDescent="0.2">
      <c r="A131" s="124" t="s">
        <v>49</v>
      </c>
      <c r="B131" s="125"/>
      <c r="F131" s="119" t="s">
        <v>17</v>
      </c>
      <c r="L131" s="127"/>
    </row>
    <row r="132" spans="1:12" x14ac:dyDescent="0.2">
      <c r="A132" s="107" t="s">
        <v>51</v>
      </c>
      <c r="B132" s="125"/>
      <c r="F132" s="122" t="s">
        <v>953</v>
      </c>
      <c r="L132" s="127"/>
    </row>
    <row r="133" spans="1:12" ht="90.75" thickBot="1" x14ac:dyDescent="0.25">
      <c r="A133" s="124" t="s">
        <v>53</v>
      </c>
      <c r="B133" s="125"/>
      <c r="F133" s="123" t="s">
        <v>954</v>
      </c>
      <c r="L133" s="127"/>
    </row>
    <row r="134" spans="1:12" ht="13.5" customHeight="1" thickBot="1" x14ac:dyDescent="0.25">
      <c r="B134" s="128" t="s">
        <v>58</v>
      </c>
      <c r="C134" s="129" t="s">
        <v>59</v>
      </c>
      <c r="D134" s="130"/>
      <c r="E134" s="130"/>
      <c r="F134" s="130" t="s">
        <v>435</v>
      </c>
      <c r="G134" s="130"/>
      <c r="H134" s="130"/>
      <c r="I134" s="130"/>
      <c r="J134" s="130"/>
      <c r="K134" s="130"/>
      <c r="L134" s="131">
        <f>SUM(L122:L133)</f>
        <v>0</v>
      </c>
    </row>
    <row r="135" spans="1:12" ht="20.100000000000001" customHeight="1" thickBot="1" x14ac:dyDescent="0.25">
      <c r="A135" s="124" t="s">
        <v>40</v>
      </c>
      <c r="B135" s="132" t="s">
        <v>41</v>
      </c>
      <c r="C135" s="109" t="s">
        <v>441</v>
      </c>
      <c r="D135" s="110"/>
      <c r="E135" s="110"/>
      <c r="F135" s="111" t="s">
        <v>442</v>
      </c>
      <c r="G135" s="110"/>
      <c r="H135" s="110"/>
      <c r="I135" s="110"/>
      <c r="J135" s="110"/>
      <c r="K135" s="110"/>
      <c r="L135" s="112"/>
    </row>
    <row r="136" spans="1:12" ht="11.25" customHeight="1" thickBot="1" x14ac:dyDescent="0.25">
      <c r="A136" s="124" t="s">
        <v>44</v>
      </c>
      <c r="B136" s="113">
        <v>28</v>
      </c>
      <c r="C136" s="114" t="s">
        <v>912</v>
      </c>
      <c r="D136" s="115" t="s">
        <v>508</v>
      </c>
      <c r="E136" s="115"/>
      <c r="F136" s="115" t="s">
        <v>913</v>
      </c>
      <c r="G136" s="114" t="s">
        <v>510</v>
      </c>
      <c r="H136" s="114">
        <f>ROUND(418.8,3)</f>
        <v>418.8</v>
      </c>
      <c r="I136" s="114">
        <v>0</v>
      </c>
      <c r="J136" s="114">
        <f>ROUND(H136,3) * I136</f>
        <v>0</v>
      </c>
      <c r="K136" s="116"/>
      <c r="L136" s="117">
        <f>ROUND(ROUND(H136,3) * ROUND(K136,2),2)</f>
        <v>0</v>
      </c>
    </row>
    <row r="137" spans="1:12" x14ac:dyDescent="0.2">
      <c r="A137" s="124" t="s">
        <v>49</v>
      </c>
      <c r="B137" s="125"/>
      <c r="F137" s="119" t="s">
        <v>511</v>
      </c>
      <c r="L137" s="127"/>
    </row>
    <row r="138" spans="1:12" x14ac:dyDescent="0.2">
      <c r="A138" s="107" t="s">
        <v>51</v>
      </c>
      <c r="B138" s="125"/>
      <c r="F138" s="122" t="s">
        <v>955</v>
      </c>
      <c r="L138" s="127"/>
    </row>
    <row r="139" spans="1:12" ht="102" thickBot="1" x14ac:dyDescent="0.25">
      <c r="A139" s="124" t="s">
        <v>53</v>
      </c>
      <c r="B139" s="125"/>
      <c r="F139" s="123" t="s">
        <v>513</v>
      </c>
      <c r="L139" s="127"/>
    </row>
    <row r="140" spans="1:12" ht="11.25" customHeight="1" thickBot="1" x14ac:dyDescent="0.25">
      <c r="A140" s="124" t="s">
        <v>44</v>
      </c>
      <c r="B140" s="113">
        <v>29</v>
      </c>
      <c r="C140" s="114" t="s">
        <v>956</v>
      </c>
      <c r="D140" s="115" t="s">
        <v>508</v>
      </c>
      <c r="E140" s="115"/>
      <c r="F140" s="115" t="s">
        <v>957</v>
      </c>
      <c r="G140" s="114" t="s">
        <v>510</v>
      </c>
      <c r="H140" s="114">
        <f>ROUND(43.15,3)</f>
        <v>43.15</v>
      </c>
      <c r="I140" s="114">
        <v>0</v>
      </c>
      <c r="J140" s="114">
        <f>ROUND(H140,3) * I140</f>
        <v>0</v>
      </c>
      <c r="K140" s="116"/>
      <c r="L140" s="117">
        <f>ROUND(ROUND(H140,3) * ROUND(K140,2),2)</f>
        <v>0</v>
      </c>
    </row>
    <row r="141" spans="1:12" x14ac:dyDescent="0.2">
      <c r="A141" s="124" t="s">
        <v>49</v>
      </c>
      <c r="B141" s="125"/>
      <c r="F141" s="119" t="s">
        <v>511</v>
      </c>
      <c r="L141" s="127"/>
    </row>
    <row r="142" spans="1:12" x14ac:dyDescent="0.2">
      <c r="A142" s="107" t="s">
        <v>51</v>
      </c>
      <c r="B142" s="125"/>
      <c r="F142" s="122" t="s">
        <v>958</v>
      </c>
      <c r="L142" s="127"/>
    </row>
    <row r="143" spans="1:12" ht="102" thickBot="1" x14ac:dyDescent="0.25">
      <c r="A143" s="124" t="s">
        <v>53</v>
      </c>
      <c r="B143" s="125"/>
      <c r="F143" s="123" t="s">
        <v>513</v>
      </c>
      <c r="L143" s="127"/>
    </row>
    <row r="144" spans="1:12" ht="13.5" customHeight="1" thickBot="1" x14ac:dyDescent="0.25">
      <c r="B144" s="128" t="s">
        <v>58</v>
      </c>
      <c r="C144" s="129" t="s">
        <v>59</v>
      </c>
      <c r="D144" s="130"/>
      <c r="E144" s="130"/>
      <c r="F144" s="130" t="s">
        <v>442</v>
      </c>
      <c r="G144" s="130"/>
      <c r="H144" s="130"/>
      <c r="I144" s="130"/>
      <c r="J144" s="130"/>
      <c r="K144" s="130"/>
      <c r="L144" s="131">
        <f>SUM(L136:L143)</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78" priority="1">
      <formula>$E$5="Ostatní"</formula>
    </cfRule>
    <cfRule type="expression" dxfId="177"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0912EC5B-0589-4E02-872F-A456E7133EC0}"/>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AED24968-98A8-4A5E-84F8-62D659DAAB5A}">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5009F29B-5926-4974-9DD0-9CD9C8D3F3E8}">
      <formula1>42370</formula1>
      <formula2>55153</formula2>
    </dataValidation>
    <dataValidation allowBlank="1" showInputMessage="1" showErrorMessage="1" promptTitle="S-kód" prompt="Číslo pod kterým je stavba evidovaná v systému SŽDC." sqref="K6" xr:uid="{054A7A5E-136C-45F9-9537-2B6A68A487AA}"/>
    <dataValidation type="date" allowBlank="1" showInputMessage="1" showErrorMessage="1" errorTitle="Špatný datum" error="Datum musí být v rozmezí_x000a_od 1.1.2016_x000a_do 31.12.2050" promptTitle="Vložit datum" prompt="ve formátu: dd.mm.rrrr" sqref="K8" xr:uid="{38F0AD2F-1DE5-4C6E-B0C6-0BEB45D28D42}">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CBF0213C-3BD2-4893-BDA0-5512C2A379A4}">
      <formula1>"801,802,803,811,812, 813, 814,815, 817, 821,822, 823,824,825,826,827,828,831,832,833,838,839"</formula1>
    </dataValidation>
    <dataValidation type="list" allowBlank="1" showInputMessage="1" showErrorMessage="1" promptTitle="Výběr stádia dle seznamu:" prompt="Stádium 3_x000a_Stádium 2" sqref="E5" xr:uid="{B556EFC7-AB76-4384-970E-A54378A8E833}">
      <formula1>"Stádium 2,Stádium 3"</formula1>
    </dataValidation>
    <dataValidation type="date" allowBlank="1" showInputMessage="1" showErrorMessage="1" sqref="L8" xr:uid="{5C03F5FC-7C5B-4560-9658-B798CA8B3CAD}">
      <formula1>42370</formula1>
      <formula2>55153</formula2>
    </dataValidation>
    <dataValidation type="list" allowBlank="1" showInputMessage="1" showErrorMessage="1" sqref="E6" xr:uid="{DDA98623-58B4-44A9-A618-C2D35F1B1EDF}">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AA477-E602-4199-A8CF-1FDD8CA1094D}">
  <sheetPr codeName="List16">
    <pageSetUpPr fitToPage="1"/>
  </sheetPr>
  <dimension ref="A1:O54"/>
  <sheetViews>
    <sheetView showGridLines="0" topLeftCell="B1" zoomScale="85" zoomScaleNormal="85" zoomScaleSheetLayoutView="85" workbookViewId="0">
      <pane ySplit="12" topLeftCell="A44" activePane="bottomLeft" state="frozen"/>
      <selection activeCell="B1" sqref="B1"/>
      <selection pane="bottomLeft" activeCell="K14" sqref="K14:K54"/>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959</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959</v>
      </c>
      <c r="E3" s="79"/>
      <c r="F3" s="80" t="s">
        <v>960</v>
      </c>
      <c r="G3" s="81"/>
      <c r="H3" s="82"/>
      <c r="I3" s="83"/>
      <c r="J3" s="84"/>
      <c r="K3" s="248"/>
      <c r="L3" s="249"/>
    </row>
    <row r="4" spans="1:15" s="67" customFormat="1" ht="18" customHeight="1" thickTop="1" x14ac:dyDescent="0.25">
      <c r="B4" s="256" t="s">
        <v>8</v>
      </c>
      <c r="C4" s="245"/>
      <c r="D4" s="253"/>
      <c r="E4" s="85" t="s">
        <v>961</v>
      </c>
      <c r="F4" s="86" t="str">
        <f>INDEX('[16]Kategorie monitoringu'!A1:B34,MATCH(E4,'[16]Kategorie monitoringu'!A1:A34,0),2)</f>
        <v xml:space="preserve"> Pozemní stavební objekty budov</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42</v>
      </c>
      <c r="D13" s="110"/>
      <c r="E13" s="110"/>
      <c r="F13" s="111" t="s">
        <v>43</v>
      </c>
      <c r="G13" s="110"/>
      <c r="H13" s="110"/>
      <c r="I13" s="110"/>
      <c r="J13" s="110"/>
      <c r="K13" s="110"/>
      <c r="L13" s="112"/>
    </row>
    <row r="14" spans="1:15" s="107" customFormat="1" ht="11.25" customHeight="1" thickBot="1" x14ac:dyDescent="0.3">
      <c r="A14" s="107" t="s">
        <v>44</v>
      </c>
      <c r="B14" s="113">
        <v>1</v>
      </c>
      <c r="C14" s="114" t="s">
        <v>962</v>
      </c>
      <c r="D14" s="115" t="s">
        <v>17</v>
      </c>
      <c r="E14" s="115" t="s">
        <v>46</v>
      </c>
      <c r="F14" s="115" t="s">
        <v>963</v>
      </c>
      <c r="G14" s="114" t="s">
        <v>81</v>
      </c>
      <c r="H14" s="114">
        <f>ROUND(2,3)</f>
        <v>2</v>
      </c>
      <c r="I14" s="114">
        <v>0</v>
      </c>
      <c r="J14" s="114">
        <f>ROUND(H14,3) * I14</f>
        <v>0</v>
      </c>
      <c r="K14" s="116"/>
      <c r="L14" s="117">
        <f>ROUND(ROUND(H14,3) * ROUND(K14,2),2)</f>
        <v>0</v>
      </c>
    </row>
    <row r="15" spans="1:15" s="107" customFormat="1" x14ac:dyDescent="0.25">
      <c r="A15" s="107" t="s">
        <v>49</v>
      </c>
      <c r="B15" s="118"/>
      <c r="F15" s="119" t="s">
        <v>964</v>
      </c>
      <c r="G15" s="120"/>
      <c r="H15" s="120"/>
      <c r="I15" s="120"/>
      <c r="J15" s="120"/>
      <c r="K15" s="120"/>
      <c r="L15" s="121"/>
    </row>
    <row r="16" spans="1:15" s="107" customFormat="1" x14ac:dyDescent="0.25">
      <c r="A16" s="107" t="s">
        <v>51</v>
      </c>
      <c r="B16" s="118"/>
      <c r="F16" s="122" t="s">
        <v>257</v>
      </c>
      <c r="G16" s="120"/>
      <c r="H16" s="120"/>
      <c r="I16" s="120"/>
      <c r="J16" s="120"/>
      <c r="K16" s="120"/>
      <c r="L16" s="121"/>
    </row>
    <row r="17" spans="1:12" s="107" customFormat="1" ht="12" thickBot="1" x14ac:dyDescent="0.3">
      <c r="A17" s="107" t="s">
        <v>53</v>
      </c>
      <c r="B17" s="118"/>
      <c r="F17" s="123" t="s">
        <v>965</v>
      </c>
      <c r="G17" s="120"/>
      <c r="H17" s="120"/>
      <c r="I17" s="120"/>
      <c r="J17" s="120"/>
      <c r="K17" s="120"/>
      <c r="L17" s="121"/>
    </row>
    <row r="18" spans="1:12" ht="13.5" customHeight="1" thickBot="1" x14ac:dyDescent="0.25">
      <c r="B18" s="128" t="s">
        <v>58</v>
      </c>
      <c r="C18" s="129" t="s">
        <v>59</v>
      </c>
      <c r="D18" s="130"/>
      <c r="E18" s="130"/>
      <c r="F18" s="130" t="s">
        <v>43</v>
      </c>
      <c r="G18" s="130"/>
      <c r="H18" s="130"/>
      <c r="I18" s="130"/>
      <c r="J18" s="130"/>
      <c r="K18" s="130"/>
      <c r="L18" s="131">
        <f>SUM(L14:L17)</f>
        <v>0</v>
      </c>
    </row>
    <row r="19" spans="1:12" ht="20.100000000000001" customHeight="1" thickBot="1" x14ac:dyDescent="0.25">
      <c r="A19" s="124" t="s">
        <v>40</v>
      </c>
      <c r="B19" s="132" t="s">
        <v>41</v>
      </c>
      <c r="C19" s="109" t="s">
        <v>60</v>
      </c>
      <c r="D19" s="110"/>
      <c r="E19" s="110"/>
      <c r="F19" s="111" t="s">
        <v>61</v>
      </c>
      <c r="G19" s="110"/>
      <c r="H19" s="110"/>
      <c r="I19" s="110"/>
      <c r="J19" s="110"/>
      <c r="K19" s="110"/>
      <c r="L19" s="112"/>
    </row>
    <row r="20" spans="1:12" ht="11.25" customHeight="1" thickBot="1" x14ac:dyDescent="0.25">
      <c r="A20" s="124" t="s">
        <v>44</v>
      </c>
      <c r="B20" s="113">
        <v>2</v>
      </c>
      <c r="C20" s="114" t="s">
        <v>269</v>
      </c>
      <c r="D20" s="115" t="s">
        <v>17</v>
      </c>
      <c r="E20" s="115" t="s">
        <v>46</v>
      </c>
      <c r="F20" s="115" t="s">
        <v>270</v>
      </c>
      <c r="G20" s="114" t="s">
        <v>64</v>
      </c>
      <c r="H20" s="114">
        <f>ROUND(1.5,3)</f>
        <v>1.5</v>
      </c>
      <c r="I20" s="114">
        <v>0</v>
      </c>
      <c r="J20" s="114">
        <f>ROUND(H20,3) * I20</f>
        <v>0</v>
      </c>
      <c r="K20" s="116"/>
      <c r="L20" s="117">
        <f>ROUND(ROUND(H20,3) * ROUND(K20,2),2)</f>
        <v>0</v>
      </c>
    </row>
    <row r="21" spans="1:12" x14ac:dyDescent="0.2">
      <c r="A21" s="124" t="s">
        <v>49</v>
      </c>
      <c r="B21" s="125"/>
      <c r="F21" s="119" t="s">
        <v>17</v>
      </c>
      <c r="L21" s="127"/>
    </row>
    <row r="22" spans="1:12" x14ac:dyDescent="0.2">
      <c r="A22" s="107" t="s">
        <v>51</v>
      </c>
      <c r="B22" s="125"/>
      <c r="F22" s="122" t="s">
        <v>966</v>
      </c>
      <c r="L22" s="127"/>
    </row>
    <row r="23" spans="1:12" ht="270.75" thickBot="1" x14ac:dyDescent="0.25">
      <c r="A23" s="124" t="s">
        <v>53</v>
      </c>
      <c r="B23" s="125"/>
      <c r="F23" s="123" t="s">
        <v>66</v>
      </c>
      <c r="L23" s="127"/>
    </row>
    <row r="24" spans="1:12" ht="11.25" customHeight="1" thickBot="1" x14ac:dyDescent="0.25">
      <c r="A24" s="124" t="s">
        <v>44</v>
      </c>
      <c r="B24" s="113">
        <v>3</v>
      </c>
      <c r="C24" s="114" t="s">
        <v>967</v>
      </c>
      <c r="D24" s="115" t="s">
        <v>17</v>
      </c>
      <c r="E24" s="115" t="s">
        <v>46</v>
      </c>
      <c r="F24" s="115" t="s">
        <v>968</v>
      </c>
      <c r="G24" s="114" t="s">
        <v>81</v>
      </c>
      <c r="H24" s="114">
        <f>ROUND(10,3)</f>
        <v>10</v>
      </c>
      <c r="I24" s="114">
        <v>0</v>
      </c>
      <c r="J24" s="114">
        <f>ROUND(H24,3) * I24</f>
        <v>0</v>
      </c>
      <c r="K24" s="116"/>
      <c r="L24" s="117">
        <f>ROUND(ROUND(H24,3) * ROUND(K24,2),2)</f>
        <v>0</v>
      </c>
    </row>
    <row r="25" spans="1:12" x14ac:dyDescent="0.2">
      <c r="A25" s="124" t="s">
        <v>49</v>
      </c>
      <c r="B25" s="125"/>
      <c r="F25" s="119" t="s">
        <v>17</v>
      </c>
      <c r="L25" s="127"/>
    </row>
    <row r="26" spans="1:12" x14ac:dyDescent="0.2">
      <c r="A26" s="107" t="s">
        <v>51</v>
      </c>
      <c r="B26" s="125"/>
      <c r="F26" s="122" t="s">
        <v>280</v>
      </c>
      <c r="L26" s="127"/>
    </row>
    <row r="27" spans="1:12" ht="12" thickBot="1" x14ac:dyDescent="0.25">
      <c r="A27" s="124" t="s">
        <v>53</v>
      </c>
      <c r="B27" s="125"/>
      <c r="F27" s="123" t="s">
        <v>83</v>
      </c>
      <c r="L27" s="127"/>
    </row>
    <row r="28" spans="1:12" ht="13.5" customHeight="1" thickBot="1" x14ac:dyDescent="0.25">
      <c r="B28" s="128" t="s">
        <v>58</v>
      </c>
      <c r="C28" s="129" t="s">
        <v>59</v>
      </c>
      <c r="D28" s="130"/>
      <c r="E28" s="130"/>
      <c r="F28" s="130" t="s">
        <v>61</v>
      </c>
      <c r="G28" s="130"/>
      <c r="H28" s="130"/>
      <c r="I28" s="130"/>
      <c r="J28" s="130"/>
      <c r="K28" s="130"/>
      <c r="L28" s="131">
        <f>SUM(L20:L27)</f>
        <v>0</v>
      </c>
    </row>
    <row r="29" spans="1:12" ht="20.100000000000001" customHeight="1" thickBot="1" x14ac:dyDescent="0.25">
      <c r="A29" s="124" t="s">
        <v>40</v>
      </c>
      <c r="B29" s="132" t="s">
        <v>41</v>
      </c>
      <c r="C29" s="109" t="s">
        <v>198</v>
      </c>
      <c r="D29" s="110"/>
      <c r="E29" s="110"/>
      <c r="F29" s="111" t="s">
        <v>969</v>
      </c>
      <c r="G29" s="110"/>
      <c r="H29" s="110"/>
      <c r="I29" s="110"/>
      <c r="J29" s="110"/>
      <c r="K29" s="110"/>
      <c r="L29" s="112"/>
    </row>
    <row r="30" spans="1:12" ht="11.25" customHeight="1" thickBot="1" x14ac:dyDescent="0.25">
      <c r="A30" s="124" t="s">
        <v>44</v>
      </c>
      <c r="B30" s="113">
        <v>4</v>
      </c>
      <c r="C30" s="114" t="s">
        <v>970</v>
      </c>
      <c r="D30" s="115" t="s">
        <v>17</v>
      </c>
      <c r="E30" s="115" t="s">
        <v>46</v>
      </c>
      <c r="F30" s="115" t="s">
        <v>971</v>
      </c>
      <c r="G30" s="114" t="s">
        <v>64</v>
      </c>
      <c r="H30" s="114">
        <f>ROUND(1,3)</f>
        <v>1</v>
      </c>
      <c r="I30" s="114">
        <v>0</v>
      </c>
      <c r="J30" s="114">
        <f>ROUND(H30,3) * I30</f>
        <v>0</v>
      </c>
      <c r="K30" s="116"/>
      <c r="L30" s="117">
        <f>ROUND(ROUND(H30,3) * ROUND(K30,2),2)</f>
        <v>0</v>
      </c>
    </row>
    <row r="31" spans="1:12" x14ac:dyDescent="0.2">
      <c r="A31" s="124" t="s">
        <v>49</v>
      </c>
      <c r="B31" s="125"/>
      <c r="F31" s="119" t="s">
        <v>17</v>
      </c>
      <c r="L31" s="127"/>
    </row>
    <row r="32" spans="1:12" x14ac:dyDescent="0.2">
      <c r="A32" s="107" t="s">
        <v>51</v>
      </c>
      <c r="B32" s="125"/>
      <c r="F32" s="122" t="s">
        <v>972</v>
      </c>
      <c r="L32" s="127"/>
    </row>
    <row r="33" spans="1:12" ht="169.5" thickBot="1" x14ac:dyDescent="0.25">
      <c r="A33" s="124" t="s">
        <v>53</v>
      </c>
      <c r="B33" s="125"/>
      <c r="F33" s="123" t="s">
        <v>973</v>
      </c>
      <c r="L33" s="127"/>
    </row>
    <row r="34" spans="1:12" ht="13.5" customHeight="1" thickBot="1" x14ac:dyDescent="0.25">
      <c r="B34" s="128" t="s">
        <v>58</v>
      </c>
      <c r="C34" s="129" t="s">
        <v>59</v>
      </c>
      <c r="D34" s="130"/>
      <c r="E34" s="130"/>
      <c r="F34" s="130" t="s">
        <v>969</v>
      </c>
      <c r="G34" s="130"/>
      <c r="H34" s="130"/>
      <c r="I34" s="130"/>
      <c r="J34" s="130"/>
      <c r="K34" s="130"/>
      <c r="L34" s="131">
        <f>SUM(L30:L33)</f>
        <v>0</v>
      </c>
    </row>
    <row r="35" spans="1:12" ht="20.100000000000001" customHeight="1" thickBot="1" x14ac:dyDescent="0.25">
      <c r="A35" s="124" t="s">
        <v>40</v>
      </c>
      <c r="B35" s="132" t="s">
        <v>41</v>
      </c>
      <c r="C35" s="109" t="s">
        <v>119</v>
      </c>
      <c r="D35" s="110"/>
      <c r="E35" s="110"/>
      <c r="F35" s="111" t="s">
        <v>120</v>
      </c>
      <c r="G35" s="110"/>
      <c r="H35" s="110"/>
      <c r="I35" s="110"/>
      <c r="J35" s="110"/>
      <c r="K35" s="110"/>
      <c r="L35" s="112"/>
    </row>
    <row r="36" spans="1:12" ht="11.25" customHeight="1" thickBot="1" x14ac:dyDescent="0.25">
      <c r="A36" s="124" t="s">
        <v>44</v>
      </c>
      <c r="B36" s="113">
        <v>5</v>
      </c>
      <c r="C36" s="114" t="s">
        <v>974</v>
      </c>
      <c r="D36" s="115" t="s">
        <v>17</v>
      </c>
      <c r="E36" s="115" t="s">
        <v>46</v>
      </c>
      <c r="F36" s="115" t="s">
        <v>975</v>
      </c>
      <c r="G36" s="114" t="s">
        <v>69</v>
      </c>
      <c r="H36" s="114">
        <f>ROUND(50,3)</f>
        <v>50</v>
      </c>
      <c r="I36" s="114">
        <v>0</v>
      </c>
      <c r="J36" s="114">
        <f>ROUND(H36,3) * I36</f>
        <v>0</v>
      </c>
      <c r="K36" s="116"/>
      <c r="L36" s="117">
        <f>ROUND(ROUND(H36,3) * ROUND(K36,2),2)</f>
        <v>0</v>
      </c>
    </row>
    <row r="37" spans="1:12" x14ac:dyDescent="0.2">
      <c r="A37" s="124" t="s">
        <v>49</v>
      </c>
      <c r="B37" s="125"/>
      <c r="F37" s="119" t="s">
        <v>17</v>
      </c>
      <c r="L37" s="127"/>
    </row>
    <row r="38" spans="1:12" x14ac:dyDescent="0.2">
      <c r="A38" s="107" t="s">
        <v>51</v>
      </c>
      <c r="B38" s="125"/>
      <c r="F38" s="122" t="s">
        <v>17</v>
      </c>
      <c r="L38" s="127"/>
    </row>
    <row r="39" spans="1:12" ht="102" thickBot="1" x14ac:dyDescent="0.25">
      <c r="A39" s="124" t="s">
        <v>53</v>
      </c>
      <c r="B39" s="125"/>
      <c r="F39" s="123" t="s">
        <v>976</v>
      </c>
      <c r="L39" s="127"/>
    </row>
    <row r="40" spans="1:12" ht="11.25" customHeight="1" thickBot="1" x14ac:dyDescent="0.25">
      <c r="A40" s="124" t="s">
        <v>44</v>
      </c>
      <c r="B40" s="113">
        <v>6</v>
      </c>
      <c r="C40" s="114" t="s">
        <v>977</v>
      </c>
      <c r="D40" s="115" t="s">
        <v>17</v>
      </c>
      <c r="E40" s="115" t="s">
        <v>46</v>
      </c>
      <c r="F40" s="115" t="s">
        <v>978</v>
      </c>
      <c r="G40" s="114" t="s">
        <v>91</v>
      </c>
      <c r="H40" s="114">
        <f>ROUND(1,3)</f>
        <v>1</v>
      </c>
      <c r="I40" s="114">
        <v>0</v>
      </c>
      <c r="J40" s="114">
        <f>ROUND(H40,3) * I40</f>
        <v>0</v>
      </c>
      <c r="K40" s="116"/>
      <c r="L40" s="117">
        <f>ROUND(ROUND(H40,3) * ROUND(K40,2),2)</f>
        <v>0</v>
      </c>
    </row>
    <row r="41" spans="1:12" x14ac:dyDescent="0.2">
      <c r="A41" s="124" t="s">
        <v>49</v>
      </c>
      <c r="B41" s="125"/>
      <c r="F41" s="119" t="s">
        <v>17</v>
      </c>
      <c r="L41" s="127"/>
    </row>
    <row r="42" spans="1:12" x14ac:dyDescent="0.2">
      <c r="A42" s="107" t="s">
        <v>51</v>
      </c>
      <c r="B42" s="125"/>
      <c r="F42" s="122" t="s">
        <v>17</v>
      </c>
      <c r="L42" s="127"/>
    </row>
    <row r="43" spans="1:12" ht="68.25" thickBot="1" x14ac:dyDescent="0.25">
      <c r="A43" s="124" t="s">
        <v>53</v>
      </c>
      <c r="B43" s="125"/>
      <c r="F43" s="123" t="s">
        <v>979</v>
      </c>
      <c r="L43" s="127"/>
    </row>
    <row r="44" spans="1:12" ht="13.5" customHeight="1" thickBot="1" x14ac:dyDescent="0.25">
      <c r="B44" s="128" t="s">
        <v>58</v>
      </c>
      <c r="C44" s="129" t="s">
        <v>59</v>
      </c>
      <c r="D44" s="130"/>
      <c r="E44" s="130"/>
      <c r="F44" s="130" t="s">
        <v>120</v>
      </c>
      <c r="G44" s="130"/>
      <c r="H44" s="130"/>
      <c r="I44" s="130"/>
      <c r="J44" s="130"/>
      <c r="K44" s="130"/>
      <c r="L44" s="131">
        <f>SUM(L36:L43)</f>
        <v>0</v>
      </c>
    </row>
    <row r="45" spans="1:12" ht="20.100000000000001" customHeight="1" thickBot="1" x14ac:dyDescent="0.25">
      <c r="A45" s="124" t="s">
        <v>40</v>
      </c>
      <c r="B45" s="132" t="s">
        <v>41</v>
      </c>
      <c r="C45" s="109" t="s">
        <v>202</v>
      </c>
      <c r="D45" s="110"/>
      <c r="E45" s="110"/>
      <c r="F45" s="111" t="s">
        <v>203</v>
      </c>
      <c r="G45" s="110"/>
      <c r="H45" s="110"/>
      <c r="I45" s="110"/>
      <c r="J45" s="110"/>
      <c r="K45" s="110"/>
      <c r="L45" s="112"/>
    </row>
    <row r="46" spans="1:12" ht="11.25" customHeight="1" thickBot="1" x14ac:dyDescent="0.25">
      <c r="A46" s="124" t="s">
        <v>44</v>
      </c>
      <c r="B46" s="113">
        <v>7</v>
      </c>
      <c r="C46" s="114" t="s">
        <v>980</v>
      </c>
      <c r="D46" s="115" t="s">
        <v>17</v>
      </c>
      <c r="E46" s="115" t="s">
        <v>46</v>
      </c>
      <c r="F46" s="115" t="s">
        <v>981</v>
      </c>
      <c r="G46" s="114" t="s">
        <v>91</v>
      </c>
      <c r="H46" s="114">
        <f>ROUND(1,3)</f>
        <v>1</v>
      </c>
      <c r="I46" s="114">
        <v>0</v>
      </c>
      <c r="J46" s="114">
        <f>ROUND(H46,3) * I46</f>
        <v>0</v>
      </c>
      <c r="K46" s="116"/>
      <c r="L46" s="117">
        <f>ROUND(ROUND(H46,3) * ROUND(K46,2),2)</f>
        <v>0</v>
      </c>
    </row>
    <row r="47" spans="1:12" x14ac:dyDescent="0.2">
      <c r="A47" s="124" t="s">
        <v>49</v>
      </c>
      <c r="B47" s="125"/>
      <c r="F47" s="119" t="s">
        <v>17</v>
      </c>
      <c r="L47" s="127"/>
    </row>
    <row r="48" spans="1:12" x14ac:dyDescent="0.2">
      <c r="A48" s="107" t="s">
        <v>51</v>
      </c>
      <c r="B48" s="125"/>
      <c r="F48" s="122" t="s">
        <v>17</v>
      </c>
      <c r="L48" s="127"/>
    </row>
    <row r="49" spans="1:12" ht="135.75" thickBot="1" x14ac:dyDescent="0.25">
      <c r="A49" s="124" t="s">
        <v>53</v>
      </c>
      <c r="B49" s="125"/>
      <c r="F49" s="123" t="s">
        <v>982</v>
      </c>
      <c r="L49" s="127"/>
    </row>
    <row r="50" spans="1:12" ht="11.25" customHeight="1" thickBot="1" x14ac:dyDescent="0.25">
      <c r="A50" s="124" t="s">
        <v>44</v>
      </c>
      <c r="B50" s="113">
        <v>8</v>
      </c>
      <c r="C50" s="114" t="s">
        <v>983</v>
      </c>
      <c r="D50" s="115" t="s">
        <v>17</v>
      </c>
      <c r="E50" s="115" t="s">
        <v>46</v>
      </c>
      <c r="F50" s="115" t="s">
        <v>984</v>
      </c>
      <c r="G50" s="114" t="s">
        <v>91</v>
      </c>
      <c r="H50" s="114">
        <f>ROUND(1,3)</f>
        <v>1</v>
      </c>
      <c r="I50" s="114">
        <v>0</v>
      </c>
      <c r="J50" s="114">
        <f>ROUND(H50,3) * I50</f>
        <v>0</v>
      </c>
      <c r="K50" s="116"/>
      <c r="L50" s="117">
        <f>ROUND(ROUND(H50,3) * ROUND(K50,2),2)</f>
        <v>0</v>
      </c>
    </row>
    <row r="51" spans="1:12" x14ac:dyDescent="0.2">
      <c r="A51" s="124" t="s">
        <v>49</v>
      </c>
      <c r="B51" s="125"/>
      <c r="F51" s="119" t="s">
        <v>17</v>
      </c>
      <c r="L51" s="127"/>
    </row>
    <row r="52" spans="1:12" x14ac:dyDescent="0.2">
      <c r="A52" s="107" t="s">
        <v>51</v>
      </c>
      <c r="B52" s="125"/>
      <c r="F52" s="122" t="s">
        <v>17</v>
      </c>
      <c r="L52" s="127"/>
    </row>
    <row r="53" spans="1:12" ht="102" thickBot="1" x14ac:dyDescent="0.25">
      <c r="A53" s="124" t="s">
        <v>53</v>
      </c>
      <c r="B53" s="125"/>
      <c r="F53" s="123" t="s">
        <v>985</v>
      </c>
      <c r="L53" s="127"/>
    </row>
    <row r="54" spans="1:12" ht="13.5" customHeight="1" thickBot="1" x14ac:dyDescent="0.25">
      <c r="B54" s="128" t="s">
        <v>58</v>
      </c>
      <c r="C54" s="129" t="s">
        <v>59</v>
      </c>
      <c r="D54" s="130"/>
      <c r="E54" s="130"/>
      <c r="F54" s="130" t="s">
        <v>203</v>
      </c>
      <c r="G54" s="130"/>
      <c r="H54" s="130"/>
      <c r="I54" s="130"/>
      <c r="J54" s="130"/>
      <c r="K54" s="130"/>
      <c r="L54" s="131">
        <f>SUM(L46:L53)</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76" priority="1">
      <formula>$E$5="Ostatní"</formula>
    </cfRule>
    <cfRule type="expression" dxfId="175"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7C806FCC-9970-4B17-95E0-05CB8B77D35C}"/>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D22D8F77-4634-4CBF-8B70-94D0246C4FB8}">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947B3A5-B8BD-4661-849D-C6588C7AB364}">
      <formula1>42370</formula1>
      <formula2>55153</formula2>
    </dataValidation>
    <dataValidation allowBlank="1" showInputMessage="1" showErrorMessage="1" promptTitle="S-kód" prompt="Číslo pod kterým je stavba evidovaná v systému SŽDC." sqref="K6" xr:uid="{91103EB5-AD98-4E52-9746-15EE44A0F6DE}"/>
    <dataValidation type="date" allowBlank="1" showInputMessage="1" showErrorMessage="1" errorTitle="Špatný datum" error="Datum musí být v rozmezí_x000a_od 1.1.2016_x000a_do 31.12.2050" promptTitle="Vložit datum" prompt="ve formátu: dd.mm.rrrr" sqref="K8" xr:uid="{035A2073-8D3F-4402-9E18-4773623AED70}">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54DC6093-C781-4B78-97F2-5B3D9B301302}">
      <formula1>"801,802,803,811,812, 813, 814,815, 817, 821,822, 823,824,825,826,827,828,831,832,833,838,839"</formula1>
    </dataValidation>
    <dataValidation type="list" allowBlank="1" showInputMessage="1" showErrorMessage="1" promptTitle="Výběr stádia dle seznamu:" prompt="Stádium 3_x000a_Stádium 2" sqref="E5" xr:uid="{C16B0234-693B-4299-8FB7-29A995C84A6F}">
      <formula1>"Stádium 2,Stádium 3"</formula1>
    </dataValidation>
    <dataValidation type="date" allowBlank="1" showInputMessage="1" showErrorMessage="1" sqref="L8" xr:uid="{E3D184B2-D5E0-41D2-85FD-425C46B9EAC4}">
      <formula1>42370</formula1>
      <formula2>55153</formula2>
    </dataValidation>
    <dataValidation type="list" allowBlank="1" showInputMessage="1" showErrorMessage="1" sqref="E6" xr:uid="{9D1769D1-8291-488D-9656-3901B3A71A54}">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FDEE6-8393-4767-AEC4-F9E7C2B28BD2}">
  <sheetPr codeName="List17">
    <pageSetUpPr fitToPage="1"/>
  </sheetPr>
  <dimension ref="A1:O200"/>
  <sheetViews>
    <sheetView showGridLines="0" topLeftCell="B1" zoomScale="85" zoomScaleNormal="85" zoomScaleSheetLayoutView="85" workbookViewId="0">
      <pane ySplit="12" topLeftCell="A188" activePane="bottomLeft" state="frozen"/>
      <selection activeCell="B1" sqref="B1"/>
      <selection pane="bottomLeft" activeCell="K14" sqref="K14:K200"/>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986</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986</v>
      </c>
      <c r="E3" s="79"/>
      <c r="F3" s="80" t="s">
        <v>987</v>
      </c>
      <c r="G3" s="81"/>
      <c r="H3" s="82"/>
      <c r="I3" s="83"/>
      <c r="J3" s="84"/>
      <c r="K3" s="248"/>
      <c r="L3" s="249"/>
    </row>
    <row r="4" spans="1:15" s="67" customFormat="1" ht="18" customHeight="1" thickTop="1" x14ac:dyDescent="0.25">
      <c r="B4" s="256" t="s">
        <v>8</v>
      </c>
      <c r="C4" s="245"/>
      <c r="D4" s="253"/>
      <c r="E4" s="85" t="s">
        <v>988</v>
      </c>
      <c r="F4" s="86" t="str">
        <f>INDEX('[17]Kategorie monitoringu'!A1:B34,MATCH(E4,'[17]Kategorie monitoringu'!A1:A34,0),2)</f>
        <v xml:space="preserve"> Rozvody VN, NN, osvětlení a dálkové ovládání odpojovačů</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42</v>
      </c>
      <c r="D13" s="110"/>
      <c r="E13" s="110"/>
      <c r="F13" s="111" t="s">
        <v>43</v>
      </c>
      <c r="G13" s="110"/>
      <c r="H13" s="110"/>
      <c r="I13" s="110"/>
      <c r="J13" s="110"/>
      <c r="K13" s="110"/>
      <c r="L13" s="112"/>
    </row>
    <row r="14" spans="1:15" s="107" customFormat="1" ht="11.25" customHeight="1" thickBot="1" x14ac:dyDescent="0.3">
      <c r="A14" s="107" t="s">
        <v>44</v>
      </c>
      <c r="B14" s="113">
        <v>1</v>
      </c>
      <c r="C14" s="114" t="s">
        <v>45</v>
      </c>
      <c r="D14" s="115" t="s">
        <v>17</v>
      </c>
      <c r="E14" s="115" t="s">
        <v>46</v>
      </c>
      <c r="F14" s="115" t="s">
        <v>47</v>
      </c>
      <c r="G14" s="114" t="s">
        <v>48</v>
      </c>
      <c r="H14" s="114">
        <f>ROUND(1,3)</f>
        <v>1</v>
      </c>
      <c r="I14" s="114">
        <v>0</v>
      </c>
      <c r="J14" s="114">
        <f>ROUND(H14,3) * I14</f>
        <v>0</v>
      </c>
      <c r="K14" s="116"/>
      <c r="L14" s="117">
        <f>ROUND(ROUND(H14,3) * ROUND(K14,2),2)</f>
        <v>0</v>
      </c>
    </row>
    <row r="15" spans="1:15" s="107" customFormat="1" x14ac:dyDescent="0.25">
      <c r="A15" s="107" t="s">
        <v>49</v>
      </c>
      <c r="B15" s="118"/>
      <c r="F15" s="119" t="s">
        <v>989</v>
      </c>
      <c r="G15" s="120"/>
      <c r="H15" s="120"/>
      <c r="I15" s="120"/>
      <c r="J15" s="120"/>
      <c r="K15" s="120"/>
      <c r="L15" s="121"/>
    </row>
    <row r="16" spans="1:15" s="107" customFormat="1" x14ac:dyDescent="0.25">
      <c r="A16" s="107" t="s">
        <v>51</v>
      </c>
      <c r="B16" s="118"/>
      <c r="F16" s="122" t="s">
        <v>17</v>
      </c>
      <c r="G16" s="120"/>
      <c r="H16" s="120"/>
      <c r="I16" s="120"/>
      <c r="J16" s="120"/>
      <c r="K16" s="120"/>
      <c r="L16" s="121"/>
    </row>
    <row r="17" spans="1:12" s="107" customFormat="1" ht="12" thickBot="1" x14ac:dyDescent="0.3">
      <c r="A17" s="107" t="s">
        <v>53</v>
      </c>
      <c r="B17" s="118"/>
      <c r="F17" s="123" t="s">
        <v>17</v>
      </c>
      <c r="G17" s="120"/>
      <c r="H17" s="120"/>
      <c r="I17" s="120"/>
      <c r="J17" s="120"/>
      <c r="K17" s="120"/>
      <c r="L17" s="121"/>
    </row>
    <row r="18" spans="1:12" ht="13.5" customHeight="1" thickBot="1" x14ac:dyDescent="0.25">
      <c r="B18" s="128" t="s">
        <v>58</v>
      </c>
      <c r="C18" s="129" t="s">
        <v>59</v>
      </c>
      <c r="D18" s="130"/>
      <c r="E18" s="130"/>
      <c r="F18" s="130" t="s">
        <v>43</v>
      </c>
      <c r="G18" s="130"/>
      <c r="H18" s="130"/>
      <c r="I18" s="130"/>
      <c r="J18" s="130"/>
      <c r="K18" s="130"/>
      <c r="L18" s="131">
        <f>SUM(L14:L17)</f>
        <v>0</v>
      </c>
    </row>
    <row r="19" spans="1:12" ht="20.100000000000001" customHeight="1" thickBot="1" x14ac:dyDescent="0.25">
      <c r="A19" s="124" t="s">
        <v>40</v>
      </c>
      <c r="B19" s="132" t="s">
        <v>41</v>
      </c>
      <c r="C19" s="109" t="s">
        <v>60</v>
      </c>
      <c r="D19" s="110"/>
      <c r="E19" s="110"/>
      <c r="F19" s="111" t="s">
        <v>61</v>
      </c>
      <c r="G19" s="110"/>
      <c r="H19" s="110"/>
      <c r="I19" s="110"/>
      <c r="J19" s="110"/>
      <c r="K19" s="110"/>
      <c r="L19" s="112"/>
    </row>
    <row r="20" spans="1:12" ht="11.25" customHeight="1" thickBot="1" x14ac:dyDescent="0.25">
      <c r="A20" s="124" t="s">
        <v>44</v>
      </c>
      <c r="B20" s="113">
        <v>2</v>
      </c>
      <c r="C20" s="114" t="s">
        <v>990</v>
      </c>
      <c r="D20" s="115" t="s">
        <v>17</v>
      </c>
      <c r="E20" s="115" t="s">
        <v>46</v>
      </c>
      <c r="F20" s="115" t="s">
        <v>991</v>
      </c>
      <c r="G20" s="114" t="s">
        <v>64</v>
      </c>
      <c r="H20" s="114">
        <f>ROUND(1.12,3)</f>
        <v>1.1200000000000001</v>
      </c>
      <c r="I20" s="114">
        <v>0</v>
      </c>
      <c r="J20" s="114">
        <f>ROUND(H20,3) * I20</f>
        <v>0</v>
      </c>
      <c r="K20" s="116"/>
      <c r="L20" s="117">
        <f>ROUND(ROUND(H20,3) * ROUND(K20,2),2)</f>
        <v>0</v>
      </c>
    </row>
    <row r="21" spans="1:12" x14ac:dyDescent="0.2">
      <c r="A21" s="124" t="s">
        <v>49</v>
      </c>
      <c r="B21" s="125"/>
      <c r="F21" s="119" t="s">
        <v>17</v>
      </c>
      <c r="L21" s="127"/>
    </row>
    <row r="22" spans="1:12" x14ac:dyDescent="0.2">
      <c r="A22" s="107" t="s">
        <v>51</v>
      </c>
      <c r="B22" s="125"/>
      <c r="F22" s="122" t="s">
        <v>992</v>
      </c>
      <c r="L22" s="127"/>
    </row>
    <row r="23" spans="1:12" ht="270.75" thickBot="1" x14ac:dyDescent="0.25">
      <c r="A23" s="124" t="s">
        <v>53</v>
      </c>
      <c r="B23" s="125"/>
      <c r="F23" s="123" t="s">
        <v>993</v>
      </c>
      <c r="L23" s="127"/>
    </row>
    <row r="24" spans="1:12" ht="11.25" customHeight="1" thickBot="1" x14ac:dyDescent="0.25">
      <c r="A24" s="124" t="s">
        <v>44</v>
      </c>
      <c r="B24" s="113">
        <v>3</v>
      </c>
      <c r="C24" s="114" t="s">
        <v>67</v>
      </c>
      <c r="D24" s="115" t="s">
        <v>17</v>
      </c>
      <c r="E24" s="115" t="s">
        <v>46</v>
      </c>
      <c r="F24" s="115" t="s">
        <v>68</v>
      </c>
      <c r="G24" s="114" t="s">
        <v>69</v>
      </c>
      <c r="H24" s="114">
        <f>ROUND(32,3)</f>
        <v>32</v>
      </c>
      <c r="I24" s="114">
        <v>0</v>
      </c>
      <c r="J24" s="114">
        <f>ROUND(H24,3) * I24</f>
        <v>0</v>
      </c>
      <c r="K24" s="116"/>
      <c r="L24" s="117">
        <f>ROUND(ROUND(H24,3) * ROUND(K24,2),2)</f>
        <v>0</v>
      </c>
    </row>
    <row r="25" spans="1:12" x14ac:dyDescent="0.2">
      <c r="A25" s="124" t="s">
        <v>49</v>
      </c>
      <c r="B25" s="125"/>
      <c r="F25" s="119" t="s">
        <v>17</v>
      </c>
      <c r="L25" s="127"/>
    </row>
    <row r="26" spans="1:12" x14ac:dyDescent="0.2">
      <c r="A26" s="107" t="s">
        <v>51</v>
      </c>
      <c r="B26" s="125"/>
      <c r="F26" s="122" t="s">
        <v>17</v>
      </c>
      <c r="L26" s="127"/>
    </row>
    <row r="27" spans="1:12" ht="23.25" thickBot="1" x14ac:dyDescent="0.25">
      <c r="A27" s="124" t="s">
        <v>53</v>
      </c>
      <c r="B27" s="125"/>
      <c r="F27" s="123" t="s">
        <v>71</v>
      </c>
      <c r="L27" s="127"/>
    </row>
    <row r="28" spans="1:12" ht="11.25" customHeight="1" thickBot="1" x14ac:dyDescent="0.25">
      <c r="A28" s="124" t="s">
        <v>44</v>
      </c>
      <c r="B28" s="113">
        <v>4</v>
      </c>
      <c r="C28" s="114" t="s">
        <v>72</v>
      </c>
      <c r="D28" s="115" t="s">
        <v>17</v>
      </c>
      <c r="E28" s="115" t="s">
        <v>46</v>
      </c>
      <c r="F28" s="115" t="s">
        <v>73</v>
      </c>
      <c r="G28" s="114" t="s">
        <v>64</v>
      </c>
      <c r="H28" s="114">
        <f>ROUND(1.12,3)</f>
        <v>1.1200000000000001</v>
      </c>
      <c r="I28" s="114">
        <v>0</v>
      </c>
      <c r="J28" s="114">
        <f>ROUND(H28,3) * I28</f>
        <v>0</v>
      </c>
      <c r="K28" s="116"/>
      <c r="L28" s="117">
        <f>ROUND(ROUND(H28,3) * ROUND(K28,2),2)</f>
        <v>0</v>
      </c>
    </row>
    <row r="29" spans="1:12" x14ac:dyDescent="0.2">
      <c r="A29" s="124" t="s">
        <v>49</v>
      </c>
      <c r="B29" s="125"/>
      <c r="F29" s="119" t="s">
        <v>17</v>
      </c>
      <c r="L29" s="127"/>
    </row>
    <row r="30" spans="1:12" x14ac:dyDescent="0.2">
      <c r="A30" s="107" t="s">
        <v>51</v>
      </c>
      <c r="B30" s="125"/>
      <c r="F30" s="122" t="s">
        <v>17</v>
      </c>
      <c r="L30" s="127"/>
    </row>
    <row r="31" spans="1:12" ht="192" thickBot="1" x14ac:dyDescent="0.25">
      <c r="A31" s="124" t="s">
        <v>53</v>
      </c>
      <c r="B31" s="125"/>
      <c r="F31" s="123" t="s">
        <v>74</v>
      </c>
      <c r="L31" s="127"/>
    </row>
    <row r="32" spans="1:12" ht="11.25" customHeight="1" thickBot="1" x14ac:dyDescent="0.25">
      <c r="A32" s="124" t="s">
        <v>44</v>
      </c>
      <c r="B32" s="113">
        <v>5</v>
      </c>
      <c r="C32" s="114" t="s">
        <v>79</v>
      </c>
      <c r="D32" s="115" t="s">
        <v>17</v>
      </c>
      <c r="E32" s="115" t="s">
        <v>46</v>
      </c>
      <c r="F32" s="115" t="s">
        <v>80</v>
      </c>
      <c r="G32" s="114" t="s">
        <v>81</v>
      </c>
      <c r="H32" s="114">
        <f>ROUND(4,3)</f>
        <v>4</v>
      </c>
      <c r="I32" s="114">
        <v>0</v>
      </c>
      <c r="J32" s="114">
        <f>ROUND(H32,3) * I32</f>
        <v>0</v>
      </c>
      <c r="K32" s="116"/>
      <c r="L32" s="117">
        <f>ROUND(ROUND(H32,3) * ROUND(K32,2),2)</f>
        <v>0</v>
      </c>
    </row>
    <row r="33" spans="1:12" x14ac:dyDescent="0.2">
      <c r="A33" s="124" t="s">
        <v>49</v>
      </c>
      <c r="B33" s="125"/>
      <c r="F33" s="119" t="s">
        <v>17</v>
      </c>
      <c r="L33" s="127"/>
    </row>
    <row r="34" spans="1:12" x14ac:dyDescent="0.2">
      <c r="A34" s="107" t="s">
        <v>51</v>
      </c>
      <c r="B34" s="125"/>
      <c r="F34" s="122" t="s">
        <v>17</v>
      </c>
      <c r="L34" s="127"/>
    </row>
    <row r="35" spans="1:12" ht="12" thickBot="1" x14ac:dyDescent="0.25">
      <c r="A35" s="124" t="s">
        <v>53</v>
      </c>
      <c r="B35" s="125"/>
      <c r="F35" s="123" t="s">
        <v>83</v>
      </c>
      <c r="L35" s="127"/>
    </row>
    <row r="36" spans="1:12" ht="11.25" customHeight="1" thickBot="1" x14ac:dyDescent="0.25">
      <c r="A36" s="124" t="s">
        <v>44</v>
      </c>
      <c r="B36" s="113">
        <v>6</v>
      </c>
      <c r="C36" s="114" t="s">
        <v>861</v>
      </c>
      <c r="D36" s="115" t="s">
        <v>17</v>
      </c>
      <c r="E36" s="115" t="s">
        <v>46</v>
      </c>
      <c r="F36" s="115" t="s">
        <v>862</v>
      </c>
      <c r="G36" s="114" t="s">
        <v>81</v>
      </c>
      <c r="H36" s="114">
        <f>ROUND(4,3)</f>
        <v>4</v>
      </c>
      <c r="I36" s="114">
        <v>0</v>
      </c>
      <c r="J36" s="114">
        <f>ROUND(H36,3) * I36</f>
        <v>0</v>
      </c>
      <c r="K36" s="116"/>
      <c r="L36" s="117">
        <f>ROUND(ROUND(H36,3) * ROUND(K36,2),2)</f>
        <v>0</v>
      </c>
    </row>
    <row r="37" spans="1:12" x14ac:dyDescent="0.2">
      <c r="A37" s="124" t="s">
        <v>49</v>
      </c>
      <c r="B37" s="125"/>
      <c r="F37" s="119" t="s">
        <v>17</v>
      </c>
      <c r="L37" s="127"/>
    </row>
    <row r="38" spans="1:12" x14ac:dyDescent="0.2">
      <c r="A38" s="107" t="s">
        <v>51</v>
      </c>
      <c r="B38" s="125"/>
      <c r="F38" s="122" t="s">
        <v>17</v>
      </c>
      <c r="L38" s="127"/>
    </row>
    <row r="39" spans="1:12" ht="23.25" thickBot="1" x14ac:dyDescent="0.25">
      <c r="A39" s="124" t="s">
        <v>53</v>
      </c>
      <c r="B39" s="125"/>
      <c r="F39" s="123" t="s">
        <v>863</v>
      </c>
      <c r="L39" s="127"/>
    </row>
    <row r="40" spans="1:12" ht="13.5" customHeight="1" thickBot="1" x14ac:dyDescent="0.25">
      <c r="B40" s="128" t="s">
        <v>58</v>
      </c>
      <c r="C40" s="129" t="s">
        <v>59</v>
      </c>
      <c r="D40" s="130"/>
      <c r="E40" s="130"/>
      <c r="F40" s="130" t="s">
        <v>61</v>
      </c>
      <c r="G40" s="130"/>
      <c r="H40" s="130"/>
      <c r="I40" s="130"/>
      <c r="J40" s="130"/>
      <c r="K40" s="130"/>
      <c r="L40" s="131">
        <f>SUM(L20:L39)</f>
        <v>0</v>
      </c>
    </row>
    <row r="41" spans="1:12" ht="20.100000000000001" customHeight="1" thickBot="1" x14ac:dyDescent="0.25">
      <c r="A41" s="124" t="s">
        <v>40</v>
      </c>
      <c r="B41" s="132" t="s">
        <v>41</v>
      </c>
      <c r="C41" s="109" t="s">
        <v>84</v>
      </c>
      <c r="D41" s="110"/>
      <c r="E41" s="110"/>
      <c r="F41" s="111" t="s">
        <v>85</v>
      </c>
      <c r="G41" s="110"/>
      <c r="H41" s="110"/>
      <c r="I41" s="110"/>
      <c r="J41" s="110"/>
      <c r="K41" s="110"/>
      <c r="L41" s="112"/>
    </row>
    <row r="42" spans="1:12" ht="11.25" customHeight="1" thickBot="1" x14ac:dyDescent="0.25">
      <c r="A42" s="124" t="s">
        <v>44</v>
      </c>
      <c r="B42" s="113">
        <v>7</v>
      </c>
      <c r="C42" s="114" t="s">
        <v>994</v>
      </c>
      <c r="D42" s="115" t="s">
        <v>17</v>
      </c>
      <c r="E42" s="115" t="s">
        <v>46</v>
      </c>
      <c r="F42" s="115" t="s">
        <v>995</v>
      </c>
      <c r="G42" s="114" t="s">
        <v>91</v>
      </c>
      <c r="H42" s="114">
        <f>ROUND(10,3)</f>
        <v>10</v>
      </c>
      <c r="I42" s="114">
        <v>0</v>
      </c>
      <c r="J42" s="114">
        <f>ROUND(H42,3) * I42</f>
        <v>0</v>
      </c>
      <c r="K42" s="116"/>
      <c r="L42" s="117">
        <f>ROUND(ROUND(H42,3) * ROUND(K42,2),2)</f>
        <v>0</v>
      </c>
    </row>
    <row r="43" spans="1:12" x14ac:dyDescent="0.2">
      <c r="A43" s="124" t="s">
        <v>49</v>
      </c>
      <c r="B43" s="125"/>
      <c r="F43" s="119" t="s">
        <v>17</v>
      </c>
      <c r="L43" s="127"/>
    </row>
    <row r="44" spans="1:12" x14ac:dyDescent="0.2">
      <c r="A44" s="107" t="s">
        <v>51</v>
      </c>
      <c r="B44" s="125"/>
      <c r="F44" s="122" t="s">
        <v>17</v>
      </c>
      <c r="L44" s="127"/>
    </row>
    <row r="45" spans="1:12" ht="68.25" thickBot="1" x14ac:dyDescent="0.25">
      <c r="A45" s="124" t="s">
        <v>53</v>
      </c>
      <c r="B45" s="125"/>
      <c r="F45" s="123" t="s">
        <v>996</v>
      </c>
      <c r="L45" s="127"/>
    </row>
    <row r="46" spans="1:12" ht="11.25" customHeight="1" thickBot="1" x14ac:dyDescent="0.25">
      <c r="A46" s="124" t="s">
        <v>44</v>
      </c>
      <c r="B46" s="113">
        <v>8</v>
      </c>
      <c r="C46" s="114" t="s">
        <v>93</v>
      </c>
      <c r="D46" s="115" t="s">
        <v>17</v>
      </c>
      <c r="E46" s="115" t="s">
        <v>46</v>
      </c>
      <c r="F46" s="115" t="s">
        <v>94</v>
      </c>
      <c r="G46" s="114" t="s">
        <v>91</v>
      </c>
      <c r="H46" s="114">
        <f>ROUND(15,3)</f>
        <v>15</v>
      </c>
      <c r="I46" s="114">
        <v>0</v>
      </c>
      <c r="J46" s="114">
        <f>ROUND(H46,3) * I46</f>
        <v>0</v>
      </c>
      <c r="K46" s="116"/>
      <c r="L46" s="117">
        <f>ROUND(ROUND(H46,3) * ROUND(K46,2),2)</f>
        <v>0</v>
      </c>
    </row>
    <row r="47" spans="1:12" x14ac:dyDescent="0.2">
      <c r="A47" s="124" t="s">
        <v>49</v>
      </c>
      <c r="B47" s="125"/>
      <c r="F47" s="119" t="s">
        <v>17</v>
      </c>
      <c r="L47" s="127"/>
    </row>
    <row r="48" spans="1:12" x14ac:dyDescent="0.2">
      <c r="A48" s="107" t="s">
        <v>51</v>
      </c>
      <c r="B48" s="125"/>
      <c r="F48" s="122" t="s">
        <v>17</v>
      </c>
      <c r="L48" s="127"/>
    </row>
    <row r="49" spans="1:12" ht="102" thickBot="1" x14ac:dyDescent="0.25">
      <c r="A49" s="124" t="s">
        <v>53</v>
      </c>
      <c r="B49" s="125"/>
      <c r="F49" s="123" t="s">
        <v>96</v>
      </c>
      <c r="L49" s="127"/>
    </row>
    <row r="50" spans="1:12" ht="11.25" customHeight="1" thickBot="1" x14ac:dyDescent="0.25">
      <c r="A50" s="124" t="s">
        <v>44</v>
      </c>
      <c r="B50" s="113">
        <v>9</v>
      </c>
      <c r="C50" s="114" t="s">
        <v>997</v>
      </c>
      <c r="D50" s="115" t="s">
        <v>17</v>
      </c>
      <c r="E50" s="115" t="s">
        <v>46</v>
      </c>
      <c r="F50" s="115" t="s">
        <v>998</v>
      </c>
      <c r="G50" s="114" t="s">
        <v>69</v>
      </c>
      <c r="H50" s="114">
        <f>ROUND(390,3)</f>
        <v>390</v>
      </c>
      <c r="I50" s="114">
        <v>0</v>
      </c>
      <c r="J50" s="114">
        <f>ROUND(H50,3) * I50</f>
        <v>0</v>
      </c>
      <c r="K50" s="116"/>
      <c r="L50" s="117">
        <f>ROUND(ROUND(H50,3) * ROUND(K50,2),2)</f>
        <v>0</v>
      </c>
    </row>
    <row r="51" spans="1:12" x14ac:dyDescent="0.2">
      <c r="A51" s="124" t="s">
        <v>49</v>
      </c>
      <c r="B51" s="125"/>
      <c r="F51" s="119" t="s">
        <v>17</v>
      </c>
      <c r="L51" s="127"/>
    </row>
    <row r="52" spans="1:12" x14ac:dyDescent="0.2">
      <c r="A52" s="107" t="s">
        <v>51</v>
      </c>
      <c r="B52" s="125"/>
      <c r="F52" s="122" t="s">
        <v>17</v>
      </c>
      <c r="L52" s="127"/>
    </row>
    <row r="53" spans="1:12" ht="79.5" thickBot="1" x14ac:dyDescent="0.25">
      <c r="A53" s="124" t="s">
        <v>53</v>
      </c>
      <c r="B53" s="125"/>
      <c r="F53" s="123" t="s">
        <v>999</v>
      </c>
      <c r="L53" s="127"/>
    </row>
    <row r="54" spans="1:12" ht="11.25" customHeight="1" thickBot="1" x14ac:dyDescent="0.25">
      <c r="A54" s="124" t="s">
        <v>44</v>
      </c>
      <c r="B54" s="113">
        <v>10</v>
      </c>
      <c r="C54" s="114" t="s">
        <v>1000</v>
      </c>
      <c r="D54" s="115" t="s">
        <v>17</v>
      </c>
      <c r="E54" s="115" t="s">
        <v>46</v>
      </c>
      <c r="F54" s="115" t="s">
        <v>1001</v>
      </c>
      <c r="G54" s="114" t="s">
        <v>69</v>
      </c>
      <c r="H54" s="114">
        <f>ROUND(360,3)</f>
        <v>360</v>
      </c>
      <c r="I54" s="114">
        <v>0</v>
      </c>
      <c r="J54" s="114">
        <f>ROUND(H54,3) * I54</f>
        <v>0</v>
      </c>
      <c r="K54" s="116"/>
      <c r="L54" s="117">
        <f>ROUND(ROUND(H54,3) * ROUND(K54,2),2)</f>
        <v>0</v>
      </c>
    </row>
    <row r="55" spans="1:12" x14ac:dyDescent="0.2">
      <c r="A55" s="124" t="s">
        <v>49</v>
      </c>
      <c r="B55" s="125"/>
      <c r="F55" s="119" t="s">
        <v>17</v>
      </c>
      <c r="L55" s="127"/>
    </row>
    <row r="56" spans="1:12" x14ac:dyDescent="0.2">
      <c r="A56" s="107" t="s">
        <v>51</v>
      </c>
      <c r="B56" s="125"/>
      <c r="F56" s="122" t="s">
        <v>17</v>
      </c>
      <c r="L56" s="127"/>
    </row>
    <row r="57" spans="1:12" ht="113.25" thickBot="1" x14ac:dyDescent="0.25">
      <c r="A57" s="124" t="s">
        <v>53</v>
      </c>
      <c r="B57" s="125"/>
      <c r="F57" s="123" t="s">
        <v>1002</v>
      </c>
      <c r="L57" s="127"/>
    </row>
    <row r="58" spans="1:12" ht="11.25" customHeight="1" thickBot="1" x14ac:dyDescent="0.25">
      <c r="A58" s="124" t="s">
        <v>44</v>
      </c>
      <c r="B58" s="113">
        <v>11</v>
      </c>
      <c r="C58" s="114" t="s">
        <v>1003</v>
      </c>
      <c r="D58" s="115" t="s">
        <v>17</v>
      </c>
      <c r="E58" s="115" t="s">
        <v>46</v>
      </c>
      <c r="F58" s="115" t="s">
        <v>1004</v>
      </c>
      <c r="G58" s="114" t="s">
        <v>69</v>
      </c>
      <c r="H58" s="114">
        <f>ROUND(320,3)</f>
        <v>320</v>
      </c>
      <c r="I58" s="114">
        <v>0</v>
      </c>
      <c r="J58" s="114">
        <f>ROUND(H58,3) * I58</f>
        <v>0</v>
      </c>
      <c r="K58" s="116"/>
      <c r="L58" s="117">
        <f>ROUND(ROUND(H58,3) * ROUND(K58,2),2)</f>
        <v>0</v>
      </c>
    </row>
    <row r="59" spans="1:12" x14ac:dyDescent="0.2">
      <c r="A59" s="124" t="s">
        <v>49</v>
      </c>
      <c r="B59" s="125"/>
      <c r="F59" s="119" t="s">
        <v>17</v>
      </c>
      <c r="L59" s="127"/>
    </row>
    <row r="60" spans="1:12" x14ac:dyDescent="0.2">
      <c r="A60" s="107" t="s">
        <v>51</v>
      </c>
      <c r="B60" s="125"/>
      <c r="F60" s="122" t="s">
        <v>17</v>
      </c>
      <c r="L60" s="127"/>
    </row>
    <row r="61" spans="1:12" ht="90.75" thickBot="1" x14ac:dyDescent="0.25">
      <c r="A61" s="124" t="s">
        <v>53</v>
      </c>
      <c r="B61" s="125"/>
      <c r="F61" s="123" t="s">
        <v>100</v>
      </c>
      <c r="L61" s="127"/>
    </row>
    <row r="62" spans="1:12" ht="11.25" customHeight="1" thickBot="1" x14ac:dyDescent="0.25">
      <c r="A62" s="124" t="s">
        <v>44</v>
      </c>
      <c r="B62" s="113">
        <v>12</v>
      </c>
      <c r="C62" s="114" t="s">
        <v>1005</v>
      </c>
      <c r="D62" s="115" t="s">
        <v>17</v>
      </c>
      <c r="E62" s="115" t="s">
        <v>46</v>
      </c>
      <c r="F62" s="115" t="s">
        <v>1006</v>
      </c>
      <c r="G62" s="114" t="s">
        <v>91</v>
      </c>
      <c r="H62" s="114">
        <f>ROUND(10,3)</f>
        <v>10</v>
      </c>
      <c r="I62" s="114">
        <v>0</v>
      </c>
      <c r="J62" s="114">
        <f>ROUND(H62,3) * I62</f>
        <v>0</v>
      </c>
      <c r="K62" s="116"/>
      <c r="L62" s="117">
        <f>ROUND(ROUND(H62,3) * ROUND(K62,2),2)</f>
        <v>0</v>
      </c>
    </row>
    <row r="63" spans="1:12" x14ac:dyDescent="0.2">
      <c r="A63" s="124" t="s">
        <v>49</v>
      </c>
      <c r="B63" s="125"/>
      <c r="F63" s="119" t="s">
        <v>17</v>
      </c>
      <c r="L63" s="127"/>
    </row>
    <row r="64" spans="1:12" x14ac:dyDescent="0.2">
      <c r="A64" s="107" t="s">
        <v>51</v>
      </c>
      <c r="B64" s="125"/>
      <c r="F64" s="122" t="s">
        <v>17</v>
      </c>
      <c r="L64" s="127"/>
    </row>
    <row r="65" spans="1:12" ht="68.25" thickBot="1" x14ac:dyDescent="0.25">
      <c r="A65" s="124" t="s">
        <v>53</v>
      </c>
      <c r="B65" s="125"/>
      <c r="F65" s="123" t="s">
        <v>1007</v>
      </c>
      <c r="L65" s="127"/>
    </row>
    <row r="66" spans="1:12" ht="11.25" customHeight="1" thickBot="1" x14ac:dyDescent="0.25">
      <c r="A66" s="124" t="s">
        <v>44</v>
      </c>
      <c r="B66" s="113">
        <v>13</v>
      </c>
      <c r="C66" s="114" t="s">
        <v>1008</v>
      </c>
      <c r="D66" s="115" t="s">
        <v>17</v>
      </c>
      <c r="E66" s="115" t="s">
        <v>46</v>
      </c>
      <c r="F66" s="115" t="s">
        <v>1009</v>
      </c>
      <c r="G66" s="114" t="s">
        <v>91</v>
      </c>
      <c r="H66" s="114">
        <f>ROUND(10,3)</f>
        <v>10</v>
      </c>
      <c r="I66" s="114">
        <v>0</v>
      </c>
      <c r="J66" s="114">
        <f>ROUND(H66,3) * I66</f>
        <v>0</v>
      </c>
      <c r="K66" s="116"/>
      <c r="L66" s="117">
        <f>ROUND(ROUND(H66,3) * ROUND(K66,2),2)</f>
        <v>0</v>
      </c>
    </row>
    <row r="67" spans="1:12" x14ac:dyDescent="0.2">
      <c r="A67" s="124" t="s">
        <v>49</v>
      </c>
      <c r="B67" s="125"/>
      <c r="F67" s="119" t="s">
        <v>17</v>
      </c>
      <c r="L67" s="127"/>
    </row>
    <row r="68" spans="1:12" x14ac:dyDescent="0.2">
      <c r="A68" s="107" t="s">
        <v>51</v>
      </c>
      <c r="B68" s="125"/>
      <c r="F68" s="122" t="s">
        <v>17</v>
      </c>
      <c r="L68" s="127"/>
    </row>
    <row r="69" spans="1:12" ht="90.75" thickBot="1" x14ac:dyDescent="0.25">
      <c r="A69" s="124" t="s">
        <v>53</v>
      </c>
      <c r="B69" s="125"/>
      <c r="F69" s="123" t="s">
        <v>1010</v>
      </c>
      <c r="L69" s="127"/>
    </row>
    <row r="70" spans="1:12" ht="11.25" customHeight="1" thickBot="1" x14ac:dyDescent="0.25">
      <c r="A70" s="124" t="s">
        <v>44</v>
      </c>
      <c r="B70" s="113">
        <v>14</v>
      </c>
      <c r="C70" s="114" t="s">
        <v>111</v>
      </c>
      <c r="D70" s="115" t="s">
        <v>17</v>
      </c>
      <c r="E70" s="115" t="s">
        <v>46</v>
      </c>
      <c r="F70" s="115" t="s">
        <v>112</v>
      </c>
      <c r="G70" s="114" t="s">
        <v>91</v>
      </c>
      <c r="H70" s="114">
        <f>ROUND(10,3)</f>
        <v>10</v>
      </c>
      <c r="I70" s="114">
        <v>0</v>
      </c>
      <c r="J70" s="114">
        <f>ROUND(H70,3) * I70</f>
        <v>0</v>
      </c>
      <c r="K70" s="116"/>
      <c r="L70" s="117">
        <f>ROUND(ROUND(H70,3) * ROUND(K70,2),2)</f>
        <v>0</v>
      </c>
    </row>
    <row r="71" spans="1:12" x14ac:dyDescent="0.2">
      <c r="A71" s="124" t="s">
        <v>49</v>
      </c>
      <c r="B71" s="125"/>
      <c r="F71" s="119" t="s">
        <v>17</v>
      </c>
      <c r="L71" s="127"/>
    </row>
    <row r="72" spans="1:12" x14ac:dyDescent="0.2">
      <c r="A72" s="107" t="s">
        <v>51</v>
      </c>
      <c r="B72" s="125"/>
      <c r="F72" s="122" t="s">
        <v>17</v>
      </c>
      <c r="L72" s="127"/>
    </row>
    <row r="73" spans="1:12" ht="90.75" thickBot="1" x14ac:dyDescent="0.25">
      <c r="A73" s="124" t="s">
        <v>53</v>
      </c>
      <c r="B73" s="125"/>
      <c r="F73" s="123" t="s">
        <v>100</v>
      </c>
      <c r="L73" s="127"/>
    </row>
    <row r="74" spans="1:12" ht="11.25" customHeight="1" thickBot="1" x14ac:dyDescent="0.25">
      <c r="A74" s="124" t="s">
        <v>44</v>
      </c>
      <c r="B74" s="113">
        <v>15</v>
      </c>
      <c r="C74" s="114" t="s">
        <v>1011</v>
      </c>
      <c r="D74" s="115" t="s">
        <v>17</v>
      </c>
      <c r="E74" s="115" t="s">
        <v>46</v>
      </c>
      <c r="F74" s="115" t="s">
        <v>1012</v>
      </c>
      <c r="G74" s="114" t="s">
        <v>69</v>
      </c>
      <c r="H74" s="114">
        <f>ROUND(390,3)</f>
        <v>390</v>
      </c>
      <c r="I74" s="114">
        <v>0</v>
      </c>
      <c r="J74" s="114">
        <f>ROUND(H74,3) * I74</f>
        <v>0</v>
      </c>
      <c r="K74" s="116"/>
      <c r="L74" s="117">
        <f>ROUND(ROUND(H74,3) * ROUND(K74,2),2)</f>
        <v>0</v>
      </c>
    </row>
    <row r="75" spans="1:12" x14ac:dyDescent="0.2">
      <c r="A75" s="124" t="s">
        <v>49</v>
      </c>
      <c r="B75" s="125"/>
      <c r="F75" s="119" t="s">
        <v>17</v>
      </c>
      <c r="L75" s="127"/>
    </row>
    <row r="76" spans="1:12" x14ac:dyDescent="0.2">
      <c r="A76" s="107" t="s">
        <v>51</v>
      </c>
      <c r="B76" s="125"/>
      <c r="F76" s="122" t="s">
        <v>17</v>
      </c>
      <c r="L76" s="127"/>
    </row>
    <row r="77" spans="1:12" ht="113.25" thickBot="1" x14ac:dyDescent="0.25">
      <c r="A77" s="124" t="s">
        <v>53</v>
      </c>
      <c r="B77" s="125"/>
      <c r="F77" s="123" t="s">
        <v>1013</v>
      </c>
      <c r="L77" s="127"/>
    </row>
    <row r="78" spans="1:12" ht="13.5" customHeight="1" thickBot="1" x14ac:dyDescent="0.25">
      <c r="B78" s="128" t="s">
        <v>58</v>
      </c>
      <c r="C78" s="129" t="s">
        <v>59</v>
      </c>
      <c r="D78" s="130"/>
      <c r="E78" s="130"/>
      <c r="F78" s="130" t="s">
        <v>85</v>
      </c>
      <c r="G78" s="130"/>
      <c r="H78" s="130"/>
      <c r="I78" s="130"/>
      <c r="J78" s="130"/>
      <c r="K78" s="130"/>
      <c r="L78" s="131">
        <f>SUM(L42:L77)</f>
        <v>0</v>
      </c>
    </row>
    <row r="79" spans="1:12" ht="20.100000000000001" customHeight="1" thickBot="1" x14ac:dyDescent="0.25">
      <c r="A79" s="124" t="s">
        <v>40</v>
      </c>
      <c r="B79" s="132" t="s">
        <v>41</v>
      </c>
      <c r="C79" s="109" t="s">
        <v>119</v>
      </c>
      <c r="D79" s="110"/>
      <c r="E79" s="110"/>
      <c r="F79" s="111" t="s">
        <v>120</v>
      </c>
      <c r="G79" s="110"/>
      <c r="H79" s="110"/>
      <c r="I79" s="110"/>
      <c r="J79" s="110"/>
      <c r="K79" s="110"/>
      <c r="L79" s="112"/>
    </row>
    <row r="80" spans="1:12" ht="11.25" customHeight="1" thickBot="1" x14ac:dyDescent="0.25">
      <c r="A80" s="124" t="s">
        <v>44</v>
      </c>
      <c r="B80" s="113">
        <v>16</v>
      </c>
      <c r="C80" s="114" t="s">
        <v>1014</v>
      </c>
      <c r="D80" s="115" t="s">
        <v>17</v>
      </c>
      <c r="E80" s="115" t="s">
        <v>46</v>
      </c>
      <c r="F80" s="115" t="s">
        <v>1015</v>
      </c>
      <c r="G80" s="114" t="s">
        <v>91</v>
      </c>
      <c r="H80" s="114">
        <f>ROUND(1,3)</f>
        <v>1</v>
      </c>
      <c r="I80" s="114">
        <v>0</v>
      </c>
      <c r="J80" s="114">
        <f>ROUND(H80,3) * I80</f>
        <v>0</v>
      </c>
      <c r="K80" s="116"/>
      <c r="L80" s="117">
        <f>ROUND(ROUND(H80,3) * ROUND(K80,2),2)</f>
        <v>0</v>
      </c>
    </row>
    <row r="81" spans="1:12" x14ac:dyDescent="0.2">
      <c r="A81" s="124" t="s">
        <v>49</v>
      </c>
      <c r="B81" s="125"/>
      <c r="F81" s="119" t="s">
        <v>17</v>
      </c>
      <c r="L81" s="127"/>
    </row>
    <row r="82" spans="1:12" x14ac:dyDescent="0.2">
      <c r="A82" s="107" t="s">
        <v>51</v>
      </c>
      <c r="B82" s="125"/>
      <c r="F82" s="122" t="s">
        <v>17</v>
      </c>
      <c r="L82" s="127"/>
    </row>
    <row r="83" spans="1:12" ht="68.25" thickBot="1" x14ac:dyDescent="0.25">
      <c r="A83" s="124" t="s">
        <v>53</v>
      </c>
      <c r="B83" s="125"/>
      <c r="F83" s="123" t="s">
        <v>92</v>
      </c>
      <c r="L83" s="127"/>
    </row>
    <row r="84" spans="1:12" ht="11.25" customHeight="1" thickBot="1" x14ac:dyDescent="0.25">
      <c r="A84" s="124" t="s">
        <v>44</v>
      </c>
      <c r="B84" s="113">
        <v>17</v>
      </c>
      <c r="C84" s="114" t="s">
        <v>1016</v>
      </c>
      <c r="D84" s="115" t="s">
        <v>17</v>
      </c>
      <c r="E84" s="115" t="s">
        <v>46</v>
      </c>
      <c r="F84" s="115" t="s">
        <v>1017</v>
      </c>
      <c r="G84" s="114" t="s">
        <v>69</v>
      </c>
      <c r="H84" s="114">
        <f>ROUND(2,3)</f>
        <v>2</v>
      </c>
      <c r="I84" s="114">
        <v>0</v>
      </c>
      <c r="J84" s="114">
        <f>ROUND(H84,3) * I84</f>
        <v>0</v>
      </c>
      <c r="K84" s="116"/>
      <c r="L84" s="117">
        <f>ROUND(ROUND(H84,3) * ROUND(K84,2),2)</f>
        <v>0</v>
      </c>
    </row>
    <row r="85" spans="1:12" x14ac:dyDescent="0.2">
      <c r="A85" s="124" t="s">
        <v>49</v>
      </c>
      <c r="B85" s="125"/>
      <c r="F85" s="119" t="s">
        <v>17</v>
      </c>
      <c r="L85" s="127"/>
    </row>
    <row r="86" spans="1:12" x14ac:dyDescent="0.2">
      <c r="A86" s="107" t="s">
        <v>51</v>
      </c>
      <c r="B86" s="125"/>
      <c r="F86" s="122" t="s">
        <v>17</v>
      </c>
      <c r="L86" s="127"/>
    </row>
    <row r="87" spans="1:12" ht="68.25" thickBot="1" x14ac:dyDescent="0.25">
      <c r="A87" s="124" t="s">
        <v>53</v>
      </c>
      <c r="B87" s="125"/>
      <c r="F87" s="123" t="s">
        <v>277</v>
      </c>
      <c r="L87" s="127"/>
    </row>
    <row r="88" spans="1:12" ht="11.25" customHeight="1" thickBot="1" x14ac:dyDescent="0.25">
      <c r="A88" s="124" t="s">
        <v>44</v>
      </c>
      <c r="B88" s="113">
        <v>18</v>
      </c>
      <c r="C88" s="114" t="s">
        <v>1018</v>
      </c>
      <c r="D88" s="115" t="s">
        <v>17</v>
      </c>
      <c r="E88" s="115" t="s">
        <v>46</v>
      </c>
      <c r="F88" s="115" t="s">
        <v>1019</v>
      </c>
      <c r="G88" s="114" t="s">
        <v>69</v>
      </c>
      <c r="H88" s="114">
        <f>ROUND(400,3)</f>
        <v>400</v>
      </c>
      <c r="I88" s="114">
        <v>0</v>
      </c>
      <c r="J88" s="114">
        <f>ROUND(H88,3) * I88</f>
        <v>0</v>
      </c>
      <c r="K88" s="116"/>
      <c r="L88" s="117">
        <f>ROUND(ROUND(H88,3) * ROUND(K88,2),2)</f>
        <v>0</v>
      </c>
    </row>
    <row r="89" spans="1:12" x14ac:dyDescent="0.2">
      <c r="A89" s="124" t="s">
        <v>49</v>
      </c>
      <c r="B89" s="125"/>
      <c r="F89" s="119" t="s">
        <v>17</v>
      </c>
      <c r="L89" s="127"/>
    </row>
    <row r="90" spans="1:12" x14ac:dyDescent="0.2">
      <c r="A90" s="107" t="s">
        <v>51</v>
      </c>
      <c r="B90" s="125"/>
      <c r="F90" s="122" t="s">
        <v>17</v>
      </c>
      <c r="L90" s="127"/>
    </row>
    <row r="91" spans="1:12" ht="68.25" thickBot="1" x14ac:dyDescent="0.25">
      <c r="A91" s="124" t="s">
        <v>53</v>
      </c>
      <c r="B91" s="125"/>
      <c r="F91" s="123" t="s">
        <v>1020</v>
      </c>
      <c r="L91" s="127"/>
    </row>
    <row r="92" spans="1:12" ht="11.25" customHeight="1" thickBot="1" x14ac:dyDescent="0.25">
      <c r="A92" s="124" t="s">
        <v>44</v>
      </c>
      <c r="B92" s="113">
        <v>19</v>
      </c>
      <c r="C92" s="114" t="s">
        <v>1021</v>
      </c>
      <c r="D92" s="115" t="s">
        <v>17</v>
      </c>
      <c r="E92" s="115" t="s">
        <v>46</v>
      </c>
      <c r="F92" s="115" t="s">
        <v>1022</v>
      </c>
      <c r="G92" s="114" t="s">
        <v>91</v>
      </c>
      <c r="H92" s="114">
        <f>ROUND(6,3)</f>
        <v>6</v>
      </c>
      <c r="I92" s="114">
        <v>0</v>
      </c>
      <c r="J92" s="114">
        <f>ROUND(H92,3) * I92</f>
        <v>0</v>
      </c>
      <c r="K92" s="116"/>
      <c r="L92" s="117">
        <f>ROUND(ROUND(H92,3) * ROUND(K92,2),2)</f>
        <v>0</v>
      </c>
    </row>
    <row r="93" spans="1:12" x14ac:dyDescent="0.2">
      <c r="A93" s="124" t="s">
        <v>49</v>
      </c>
      <c r="B93" s="125"/>
      <c r="F93" s="119" t="s">
        <v>17</v>
      </c>
      <c r="L93" s="127"/>
    </row>
    <row r="94" spans="1:12" x14ac:dyDescent="0.2">
      <c r="A94" s="107" t="s">
        <v>51</v>
      </c>
      <c r="B94" s="125"/>
      <c r="F94" s="122" t="s">
        <v>17</v>
      </c>
      <c r="L94" s="127"/>
    </row>
    <row r="95" spans="1:12" ht="79.5" thickBot="1" x14ac:dyDescent="0.25">
      <c r="A95" s="124" t="s">
        <v>53</v>
      </c>
      <c r="B95" s="125"/>
      <c r="F95" s="123" t="s">
        <v>286</v>
      </c>
      <c r="L95" s="127"/>
    </row>
    <row r="96" spans="1:12" ht="11.25" customHeight="1" thickBot="1" x14ac:dyDescent="0.25">
      <c r="A96" s="124" t="s">
        <v>44</v>
      </c>
      <c r="B96" s="113">
        <v>20</v>
      </c>
      <c r="C96" s="114" t="s">
        <v>1023</v>
      </c>
      <c r="D96" s="115" t="s">
        <v>17</v>
      </c>
      <c r="E96" s="115" t="s">
        <v>46</v>
      </c>
      <c r="F96" s="115" t="s">
        <v>1024</v>
      </c>
      <c r="G96" s="114" t="s">
        <v>91</v>
      </c>
      <c r="H96" s="114">
        <f>ROUND(2,3)</f>
        <v>2</v>
      </c>
      <c r="I96" s="114">
        <v>0</v>
      </c>
      <c r="J96" s="114">
        <f>ROUND(H96,3) * I96</f>
        <v>0</v>
      </c>
      <c r="K96" s="116"/>
      <c r="L96" s="117">
        <f>ROUND(ROUND(H96,3) * ROUND(K96,2),2)</f>
        <v>0</v>
      </c>
    </row>
    <row r="97" spans="1:12" x14ac:dyDescent="0.2">
      <c r="A97" s="124" t="s">
        <v>49</v>
      </c>
      <c r="B97" s="125"/>
      <c r="F97" s="119" t="s">
        <v>17</v>
      </c>
      <c r="L97" s="127"/>
    </row>
    <row r="98" spans="1:12" x14ac:dyDescent="0.2">
      <c r="A98" s="107" t="s">
        <v>51</v>
      </c>
      <c r="B98" s="125"/>
      <c r="F98" s="122" t="s">
        <v>17</v>
      </c>
      <c r="L98" s="127"/>
    </row>
    <row r="99" spans="1:12" ht="68.25" thickBot="1" x14ac:dyDescent="0.25">
      <c r="A99" s="124" t="s">
        <v>53</v>
      </c>
      <c r="B99" s="125"/>
      <c r="F99" s="123" t="s">
        <v>1025</v>
      </c>
      <c r="L99" s="127"/>
    </row>
    <row r="100" spans="1:12" ht="11.25" customHeight="1" thickBot="1" x14ac:dyDescent="0.25">
      <c r="A100" s="124" t="s">
        <v>44</v>
      </c>
      <c r="B100" s="113">
        <v>21</v>
      </c>
      <c r="C100" s="114" t="s">
        <v>1026</v>
      </c>
      <c r="D100" s="115" t="s">
        <v>17</v>
      </c>
      <c r="E100" s="115" t="s">
        <v>46</v>
      </c>
      <c r="F100" s="115" t="s">
        <v>1027</v>
      </c>
      <c r="G100" s="114" t="s">
        <v>69</v>
      </c>
      <c r="H100" s="114">
        <f>ROUND(390,3)</f>
        <v>390</v>
      </c>
      <c r="I100" s="114">
        <v>0</v>
      </c>
      <c r="J100" s="114">
        <f>ROUND(H100,3) * I100</f>
        <v>0</v>
      </c>
      <c r="K100" s="116"/>
      <c r="L100" s="117">
        <f>ROUND(ROUND(H100,3) * ROUND(K100,2),2)</f>
        <v>0</v>
      </c>
    </row>
    <row r="101" spans="1:12" x14ac:dyDescent="0.2">
      <c r="A101" s="124" t="s">
        <v>49</v>
      </c>
      <c r="B101" s="125"/>
      <c r="F101" s="119" t="s">
        <v>17</v>
      </c>
      <c r="L101" s="127"/>
    </row>
    <row r="102" spans="1:12" x14ac:dyDescent="0.2">
      <c r="A102" s="107" t="s">
        <v>51</v>
      </c>
      <c r="B102" s="125"/>
      <c r="F102" s="122" t="s">
        <v>17</v>
      </c>
      <c r="L102" s="127"/>
    </row>
    <row r="103" spans="1:12" ht="68.25" thickBot="1" x14ac:dyDescent="0.25">
      <c r="A103" s="124" t="s">
        <v>53</v>
      </c>
      <c r="B103" s="125"/>
      <c r="F103" s="123" t="s">
        <v>1028</v>
      </c>
      <c r="L103" s="127"/>
    </row>
    <row r="104" spans="1:12" ht="11.25" customHeight="1" thickBot="1" x14ac:dyDescent="0.25">
      <c r="A104" s="124" t="s">
        <v>44</v>
      </c>
      <c r="B104" s="113">
        <v>22</v>
      </c>
      <c r="C104" s="114" t="s">
        <v>1029</v>
      </c>
      <c r="D104" s="115" t="s">
        <v>17</v>
      </c>
      <c r="E104" s="115" t="s">
        <v>46</v>
      </c>
      <c r="F104" s="115" t="s">
        <v>1030</v>
      </c>
      <c r="G104" s="114" t="s">
        <v>91</v>
      </c>
      <c r="H104" s="114">
        <f>ROUND(10,3)</f>
        <v>10</v>
      </c>
      <c r="I104" s="114">
        <v>0</v>
      </c>
      <c r="J104" s="114">
        <f>ROUND(H104,3) * I104</f>
        <v>0</v>
      </c>
      <c r="K104" s="116"/>
      <c r="L104" s="117">
        <f>ROUND(ROUND(H104,3) * ROUND(K104,2),2)</f>
        <v>0</v>
      </c>
    </row>
    <row r="105" spans="1:12" x14ac:dyDescent="0.2">
      <c r="A105" s="124" t="s">
        <v>49</v>
      </c>
      <c r="B105" s="125"/>
      <c r="F105" s="119" t="s">
        <v>17</v>
      </c>
      <c r="L105" s="127"/>
    </row>
    <row r="106" spans="1:12" x14ac:dyDescent="0.2">
      <c r="A106" s="107" t="s">
        <v>51</v>
      </c>
      <c r="B106" s="125"/>
      <c r="F106" s="122" t="s">
        <v>17</v>
      </c>
      <c r="L106" s="127"/>
    </row>
    <row r="107" spans="1:12" ht="79.5" thickBot="1" x14ac:dyDescent="0.25">
      <c r="A107" s="124" t="s">
        <v>53</v>
      </c>
      <c r="B107" s="125"/>
      <c r="F107" s="123" t="s">
        <v>1031</v>
      </c>
      <c r="L107" s="127"/>
    </row>
    <row r="108" spans="1:12" ht="11.25" customHeight="1" thickBot="1" x14ac:dyDescent="0.25">
      <c r="A108" s="124" t="s">
        <v>44</v>
      </c>
      <c r="B108" s="113">
        <v>23</v>
      </c>
      <c r="C108" s="114" t="s">
        <v>1032</v>
      </c>
      <c r="D108" s="115" t="s">
        <v>17</v>
      </c>
      <c r="E108" s="115" t="s">
        <v>46</v>
      </c>
      <c r="F108" s="115" t="s">
        <v>1033</v>
      </c>
      <c r="G108" s="114" t="s">
        <v>91</v>
      </c>
      <c r="H108" s="114">
        <f>ROUND(1,3)</f>
        <v>1</v>
      </c>
      <c r="I108" s="114">
        <v>0</v>
      </c>
      <c r="J108" s="114">
        <f>ROUND(H108,3) * I108</f>
        <v>0</v>
      </c>
      <c r="K108" s="116"/>
      <c r="L108" s="117">
        <f>ROUND(ROUND(H108,3) * ROUND(K108,2),2)</f>
        <v>0</v>
      </c>
    </row>
    <row r="109" spans="1:12" x14ac:dyDescent="0.2">
      <c r="A109" s="124" t="s">
        <v>49</v>
      </c>
      <c r="B109" s="125"/>
      <c r="F109" s="119" t="s">
        <v>17</v>
      </c>
      <c r="L109" s="127"/>
    </row>
    <row r="110" spans="1:12" x14ac:dyDescent="0.2">
      <c r="A110" s="107" t="s">
        <v>51</v>
      </c>
      <c r="B110" s="125"/>
      <c r="F110" s="122" t="s">
        <v>17</v>
      </c>
      <c r="L110" s="127"/>
    </row>
    <row r="111" spans="1:12" ht="79.5" thickBot="1" x14ac:dyDescent="0.25">
      <c r="A111" s="124" t="s">
        <v>53</v>
      </c>
      <c r="B111" s="125"/>
      <c r="F111" s="123" t="s">
        <v>1034</v>
      </c>
      <c r="L111" s="127"/>
    </row>
    <row r="112" spans="1:12" ht="11.25" customHeight="1" thickBot="1" x14ac:dyDescent="0.25">
      <c r="A112" s="124" t="s">
        <v>44</v>
      </c>
      <c r="B112" s="113">
        <v>24</v>
      </c>
      <c r="C112" s="114" t="s">
        <v>1035</v>
      </c>
      <c r="D112" s="115" t="s">
        <v>17</v>
      </c>
      <c r="E112" s="115" t="s">
        <v>46</v>
      </c>
      <c r="F112" s="115" t="s">
        <v>1036</v>
      </c>
      <c r="G112" s="114" t="s">
        <v>91</v>
      </c>
      <c r="H112" s="114">
        <f>ROUND(1,3)</f>
        <v>1</v>
      </c>
      <c r="I112" s="114">
        <v>0</v>
      </c>
      <c r="J112" s="114">
        <f>ROUND(H112,3) * I112</f>
        <v>0</v>
      </c>
      <c r="K112" s="116"/>
      <c r="L112" s="117">
        <f>ROUND(ROUND(H112,3) * ROUND(K112,2),2)</f>
        <v>0</v>
      </c>
    </row>
    <row r="113" spans="1:12" x14ac:dyDescent="0.2">
      <c r="A113" s="124" t="s">
        <v>49</v>
      </c>
      <c r="B113" s="125"/>
      <c r="F113" s="119" t="s">
        <v>17</v>
      </c>
      <c r="L113" s="127"/>
    </row>
    <row r="114" spans="1:12" x14ac:dyDescent="0.2">
      <c r="A114" s="107" t="s">
        <v>51</v>
      </c>
      <c r="B114" s="125"/>
      <c r="F114" s="122" t="s">
        <v>17</v>
      </c>
      <c r="L114" s="127"/>
    </row>
    <row r="115" spans="1:12" ht="90.75" thickBot="1" x14ac:dyDescent="0.25">
      <c r="A115" s="124" t="s">
        <v>53</v>
      </c>
      <c r="B115" s="125"/>
      <c r="F115" s="123" t="s">
        <v>1037</v>
      </c>
      <c r="L115" s="127"/>
    </row>
    <row r="116" spans="1:12" ht="11.25" customHeight="1" thickBot="1" x14ac:dyDescent="0.25">
      <c r="A116" s="124" t="s">
        <v>44</v>
      </c>
      <c r="B116" s="113">
        <v>25</v>
      </c>
      <c r="C116" s="114" t="s">
        <v>1038</v>
      </c>
      <c r="D116" s="115" t="s">
        <v>17</v>
      </c>
      <c r="E116" s="115" t="s">
        <v>46</v>
      </c>
      <c r="F116" s="115" t="s">
        <v>1039</v>
      </c>
      <c r="G116" s="114" t="s">
        <v>91</v>
      </c>
      <c r="H116" s="114">
        <f>ROUND(2,3)</f>
        <v>2</v>
      </c>
      <c r="I116" s="114">
        <v>0</v>
      </c>
      <c r="J116" s="114">
        <f>ROUND(H116,3) * I116</f>
        <v>0</v>
      </c>
      <c r="K116" s="116"/>
      <c r="L116" s="117">
        <f>ROUND(ROUND(H116,3) * ROUND(K116,2),2)</f>
        <v>0</v>
      </c>
    </row>
    <row r="117" spans="1:12" x14ac:dyDescent="0.2">
      <c r="A117" s="124" t="s">
        <v>49</v>
      </c>
      <c r="B117" s="125"/>
      <c r="F117" s="119" t="s">
        <v>17</v>
      </c>
      <c r="L117" s="127"/>
    </row>
    <row r="118" spans="1:12" x14ac:dyDescent="0.2">
      <c r="A118" s="107" t="s">
        <v>51</v>
      </c>
      <c r="B118" s="125"/>
      <c r="F118" s="122" t="s">
        <v>17</v>
      </c>
      <c r="L118" s="127"/>
    </row>
    <row r="119" spans="1:12" ht="79.5" thickBot="1" x14ac:dyDescent="0.25">
      <c r="A119" s="124" t="s">
        <v>53</v>
      </c>
      <c r="B119" s="125"/>
      <c r="F119" s="123" t="s">
        <v>1034</v>
      </c>
      <c r="L119" s="127"/>
    </row>
    <row r="120" spans="1:12" ht="11.25" customHeight="1" thickBot="1" x14ac:dyDescent="0.25">
      <c r="A120" s="124" t="s">
        <v>44</v>
      </c>
      <c r="B120" s="113">
        <v>26</v>
      </c>
      <c r="C120" s="114" t="s">
        <v>1040</v>
      </c>
      <c r="D120" s="115" t="s">
        <v>17</v>
      </c>
      <c r="E120" s="115" t="s">
        <v>46</v>
      </c>
      <c r="F120" s="115" t="s">
        <v>1041</v>
      </c>
      <c r="G120" s="114" t="s">
        <v>91</v>
      </c>
      <c r="H120" s="114">
        <f>ROUND(1,3)</f>
        <v>1</v>
      </c>
      <c r="I120" s="114">
        <v>0</v>
      </c>
      <c r="J120" s="114">
        <f>ROUND(H120,3) * I120</f>
        <v>0</v>
      </c>
      <c r="K120" s="116"/>
      <c r="L120" s="117">
        <f>ROUND(ROUND(H120,3) * ROUND(K120,2),2)</f>
        <v>0</v>
      </c>
    </row>
    <row r="121" spans="1:12" x14ac:dyDescent="0.2">
      <c r="A121" s="124" t="s">
        <v>49</v>
      </c>
      <c r="B121" s="125"/>
      <c r="F121" s="119" t="s">
        <v>17</v>
      </c>
      <c r="L121" s="127"/>
    </row>
    <row r="122" spans="1:12" x14ac:dyDescent="0.2">
      <c r="A122" s="107" t="s">
        <v>51</v>
      </c>
      <c r="B122" s="125"/>
      <c r="F122" s="122" t="s">
        <v>17</v>
      </c>
      <c r="L122" s="127"/>
    </row>
    <row r="123" spans="1:12" ht="90.75" thickBot="1" x14ac:dyDescent="0.25">
      <c r="A123" s="124" t="s">
        <v>53</v>
      </c>
      <c r="B123" s="125"/>
      <c r="F123" s="123" t="s">
        <v>1037</v>
      </c>
      <c r="L123" s="127"/>
    </row>
    <row r="124" spans="1:12" ht="11.25" customHeight="1" thickBot="1" x14ac:dyDescent="0.25">
      <c r="A124" s="124" t="s">
        <v>44</v>
      </c>
      <c r="B124" s="113">
        <v>27</v>
      </c>
      <c r="C124" s="114" t="s">
        <v>1042</v>
      </c>
      <c r="D124" s="115" t="s">
        <v>17</v>
      </c>
      <c r="E124" s="115" t="s">
        <v>46</v>
      </c>
      <c r="F124" s="115" t="s">
        <v>1043</v>
      </c>
      <c r="G124" s="114" t="s">
        <v>91</v>
      </c>
      <c r="H124" s="114">
        <f>ROUND(1,3)</f>
        <v>1</v>
      </c>
      <c r="I124" s="114">
        <v>0</v>
      </c>
      <c r="J124" s="114">
        <f>ROUND(H124,3) * I124</f>
        <v>0</v>
      </c>
      <c r="K124" s="116"/>
      <c r="L124" s="117">
        <f>ROUND(ROUND(H124,3) * ROUND(K124,2),2)</f>
        <v>0</v>
      </c>
    </row>
    <row r="125" spans="1:12" x14ac:dyDescent="0.2">
      <c r="A125" s="124" t="s">
        <v>49</v>
      </c>
      <c r="B125" s="125"/>
      <c r="F125" s="119" t="s">
        <v>17</v>
      </c>
      <c r="L125" s="127"/>
    </row>
    <row r="126" spans="1:12" x14ac:dyDescent="0.2">
      <c r="A126" s="107" t="s">
        <v>51</v>
      </c>
      <c r="B126" s="125"/>
      <c r="F126" s="122" t="s">
        <v>17</v>
      </c>
      <c r="L126" s="127"/>
    </row>
    <row r="127" spans="1:12" ht="90.75" thickBot="1" x14ac:dyDescent="0.25">
      <c r="A127" s="124" t="s">
        <v>53</v>
      </c>
      <c r="B127" s="125"/>
      <c r="F127" s="123" t="s">
        <v>1037</v>
      </c>
      <c r="L127" s="127"/>
    </row>
    <row r="128" spans="1:12" ht="11.25" customHeight="1" thickBot="1" x14ac:dyDescent="0.25">
      <c r="A128" s="124" t="s">
        <v>44</v>
      </c>
      <c r="B128" s="113">
        <v>28</v>
      </c>
      <c r="C128" s="114" t="s">
        <v>1044</v>
      </c>
      <c r="D128" s="115" t="s">
        <v>17</v>
      </c>
      <c r="E128" s="115" t="s">
        <v>46</v>
      </c>
      <c r="F128" s="115" t="s">
        <v>1045</v>
      </c>
      <c r="G128" s="114" t="s">
        <v>91</v>
      </c>
      <c r="H128" s="114">
        <f>ROUND(1,3)</f>
        <v>1</v>
      </c>
      <c r="I128" s="114">
        <v>0</v>
      </c>
      <c r="J128" s="114">
        <f>ROUND(H128,3) * I128</f>
        <v>0</v>
      </c>
      <c r="K128" s="116"/>
      <c r="L128" s="117">
        <f>ROUND(ROUND(H128,3) * ROUND(K128,2),2)</f>
        <v>0</v>
      </c>
    </row>
    <row r="129" spans="1:12" x14ac:dyDescent="0.2">
      <c r="A129" s="124" t="s">
        <v>49</v>
      </c>
      <c r="B129" s="125"/>
      <c r="F129" s="119" t="s">
        <v>17</v>
      </c>
      <c r="L129" s="127"/>
    </row>
    <row r="130" spans="1:12" x14ac:dyDescent="0.2">
      <c r="A130" s="107" t="s">
        <v>51</v>
      </c>
      <c r="B130" s="125"/>
      <c r="F130" s="122" t="s">
        <v>17</v>
      </c>
      <c r="L130" s="127"/>
    </row>
    <row r="131" spans="1:12" ht="90.75" thickBot="1" x14ac:dyDescent="0.25">
      <c r="A131" s="124" t="s">
        <v>53</v>
      </c>
      <c r="B131" s="125"/>
      <c r="F131" s="123" t="s">
        <v>1037</v>
      </c>
      <c r="L131" s="127"/>
    </row>
    <row r="132" spans="1:12" ht="11.25" customHeight="1" thickBot="1" x14ac:dyDescent="0.25">
      <c r="A132" s="124" t="s">
        <v>44</v>
      </c>
      <c r="B132" s="113">
        <v>29</v>
      </c>
      <c r="C132" s="114" t="s">
        <v>1046</v>
      </c>
      <c r="D132" s="115" t="s">
        <v>17</v>
      </c>
      <c r="E132" s="115" t="s">
        <v>46</v>
      </c>
      <c r="F132" s="115" t="s">
        <v>1047</v>
      </c>
      <c r="G132" s="114" t="s">
        <v>91</v>
      </c>
      <c r="H132" s="114">
        <f>ROUND(1,3)</f>
        <v>1</v>
      </c>
      <c r="I132" s="114">
        <v>0</v>
      </c>
      <c r="J132" s="114">
        <f>ROUND(H132,3) * I132</f>
        <v>0</v>
      </c>
      <c r="K132" s="116"/>
      <c r="L132" s="117">
        <f>ROUND(ROUND(H132,3) * ROUND(K132,2),2)</f>
        <v>0</v>
      </c>
    </row>
    <row r="133" spans="1:12" x14ac:dyDescent="0.2">
      <c r="A133" s="124" t="s">
        <v>49</v>
      </c>
      <c r="B133" s="125"/>
      <c r="F133" s="119" t="s">
        <v>17</v>
      </c>
      <c r="L133" s="127"/>
    </row>
    <row r="134" spans="1:12" x14ac:dyDescent="0.2">
      <c r="A134" s="107" t="s">
        <v>51</v>
      </c>
      <c r="B134" s="125"/>
      <c r="F134" s="122" t="s">
        <v>17</v>
      </c>
      <c r="L134" s="127"/>
    </row>
    <row r="135" spans="1:12" ht="79.5" thickBot="1" x14ac:dyDescent="0.25">
      <c r="A135" s="124" t="s">
        <v>53</v>
      </c>
      <c r="B135" s="125"/>
      <c r="F135" s="123" t="s">
        <v>1034</v>
      </c>
      <c r="L135" s="127"/>
    </row>
    <row r="136" spans="1:12" ht="11.25" customHeight="1" thickBot="1" x14ac:dyDescent="0.25">
      <c r="A136" s="124" t="s">
        <v>44</v>
      </c>
      <c r="B136" s="113">
        <v>30</v>
      </c>
      <c r="C136" s="114" t="s">
        <v>1048</v>
      </c>
      <c r="D136" s="115" t="s">
        <v>17</v>
      </c>
      <c r="E136" s="115" t="s">
        <v>46</v>
      </c>
      <c r="F136" s="115" t="s">
        <v>1049</v>
      </c>
      <c r="G136" s="114" t="s">
        <v>91</v>
      </c>
      <c r="H136" s="114">
        <f>ROUND(1,3)</f>
        <v>1</v>
      </c>
      <c r="I136" s="114">
        <v>0</v>
      </c>
      <c r="J136" s="114">
        <f>ROUND(H136,3) * I136</f>
        <v>0</v>
      </c>
      <c r="K136" s="116"/>
      <c r="L136" s="117">
        <f>ROUND(ROUND(H136,3) * ROUND(K136,2),2)</f>
        <v>0</v>
      </c>
    </row>
    <row r="137" spans="1:12" x14ac:dyDescent="0.2">
      <c r="A137" s="124" t="s">
        <v>49</v>
      </c>
      <c r="B137" s="125"/>
      <c r="F137" s="119" t="s">
        <v>17</v>
      </c>
      <c r="L137" s="127"/>
    </row>
    <row r="138" spans="1:12" x14ac:dyDescent="0.2">
      <c r="A138" s="107" t="s">
        <v>51</v>
      </c>
      <c r="B138" s="125"/>
      <c r="F138" s="122" t="s">
        <v>17</v>
      </c>
      <c r="L138" s="127"/>
    </row>
    <row r="139" spans="1:12" ht="79.5" thickBot="1" x14ac:dyDescent="0.25">
      <c r="A139" s="124" t="s">
        <v>53</v>
      </c>
      <c r="B139" s="125"/>
      <c r="F139" s="123" t="s">
        <v>1034</v>
      </c>
      <c r="L139" s="127"/>
    </row>
    <row r="140" spans="1:12" ht="11.25" customHeight="1" thickBot="1" x14ac:dyDescent="0.25">
      <c r="A140" s="124" t="s">
        <v>44</v>
      </c>
      <c r="B140" s="113">
        <v>31</v>
      </c>
      <c r="C140" s="114" t="s">
        <v>1050</v>
      </c>
      <c r="D140" s="115" t="s">
        <v>17</v>
      </c>
      <c r="E140" s="115" t="s">
        <v>46</v>
      </c>
      <c r="F140" s="115" t="s">
        <v>1051</v>
      </c>
      <c r="G140" s="114" t="s">
        <v>91</v>
      </c>
      <c r="H140" s="114">
        <f>ROUND(6,3)</f>
        <v>6</v>
      </c>
      <c r="I140" s="114">
        <v>0</v>
      </c>
      <c r="J140" s="114">
        <f>ROUND(H140,3) * I140</f>
        <v>0</v>
      </c>
      <c r="K140" s="116"/>
      <c r="L140" s="117">
        <f>ROUND(ROUND(H140,3) * ROUND(K140,2),2)</f>
        <v>0</v>
      </c>
    </row>
    <row r="141" spans="1:12" x14ac:dyDescent="0.2">
      <c r="A141" s="124" t="s">
        <v>49</v>
      </c>
      <c r="B141" s="125"/>
      <c r="F141" s="119" t="s">
        <v>17</v>
      </c>
      <c r="L141" s="127"/>
    </row>
    <row r="142" spans="1:12" x14ac:dyDescent="0.2">
      <c r="A142" s="107" t="s">
        <v>51</v>
      </c>
      <c r="B142" s="125"/>
      <c r="F142" s="122" t="s">
        <v>17</v>
      </c>
      <c r="L142" s="127"/>
    </row>
    <row r="143" spans="1:12" ht="79.5" thickBot="1" x14ac:dyDescent="0.25">
      <c r="A143" s="124" t="s">
        <v>53</v>
      </c>
      <c r="B143" s="125"/>
      <c r="F143" s="123" t="s">
        <v>1052</v>
      </c>
      <c r="L143" s="127"/>
    </row>
    <row r="144" spans="1:12" ht="11.25" customHeight="1" thickBot="1" x14ac:dyDescent="0.25">
      <c r="A144" s="124" t="s">
        <v>44</v>
      </c>
      <c r="B144" s="113">
        <v>32</v>
      </c>
      <c r="C144" s="114" t="s">
        <v>1053</v>
      </c>
      <c r="D144" s="115" t="s">
        <v>17</v>
      </c>
      <c r="E144" s="115" t="s">
        <v>46</v>
      </c>
      <c r="F144" s="115" t="s">
        <v>1054</v>
      </c>
      <c r="G144" s="114" t="s">
        <v>91</v>
      </c>
      <c r="H144" s="114">
        <f>ROUND(1,3)</f>
        <v>1</v>
      </c>
      <c r="I144" s="114">
        <v>0</v>
      </c>
      <c r="J144" s="114">
        <f>ROUND(H144,3) * I144</f>
        <v>0</v>
      </c>
      <c r="K144" s="116"/>
      <c r="L144" s="117">
        <f>ROUND(ROUND(H144,3) * ROUND(K144,2),2)</f>
        <v>0</v>
      </c>
    </row>
    <row r="145" spans="1:12" x14ac:dyDescent="0.2">
      <c r="A145" s="124" t="s">
        <v>49</v>
      </c>
      <c r="B145" s="125"/>
      <c r="F145" s="119" t="s">
        <v>1055</v>
      </c>
      <c r="L145" s="127"/>
    </row>
    <row r="146" spans="1:12" x14ac:dyDescent="0.2">
      <c r="A146" s="107" t="s">
        <v>51</v>
      </c>
      <c r="B146" s="125"/>
      <c r="F146" s="122" t="s">
        <v>17</v>
      </c>
      <c r="L146" s="127"/>
    </row>
    <row r="147" spans="1:12" ht="79.5" thickBot="1" x14ac:dyDescent="0.25">
      <c r="A147" s="124" t="s">
        <v>53</v>
      </c>
      <c r="B147" s="125"/>
      <c r="F147" s="123" t="s">
        <v>1034</v>
      </c>
      <c r="L147" s="127"/>
    </row>
    <row r="148" spans="1:12" ht="11.25" customHeight="1" thickBot="1" x14ac:dyDescent="0.25">
      <c r="A148" s="124" t="s">
        <v>44</v>
      </c>
      <c r="B148" s="113">
        <v>33</v>
      </c>
      <c r="C148" s="114" t="s">
        <v>1056</v>
      </c>
      <c r="D148" s="115" t="s">
        <v>17</v>
      </c>
      <c r="E148" s="115" t="s">
        <v>46</v>
      </c>
      <c r="F148" s="115" t="s">
        <v>1057</v>
      </c>
      <c r="G148" s="114" t="s">
        <v>91</v>
      </c>
      <c r="H148" s="114">
        <f>ROUND(1,3)</f>
        <v>1</v>
      </c>
      <c r="I148" s="114">
        <v>0</v>
      </c>
      <c r="J148" s="114">
        <f>ROUND(H148,3) * I148</f>
        <v>0</v>
      </c>
      <c r="K148" s="116"/>
      <c r="L148" s="117">
        <f>ROUND(ROUND(H148,3) * ROUND(K148,2),2)</f>
        <v>0</v>
      </c>
    </row>
    <row r="149" spans="1:12" x14ac:dyDescent="0.2">
      <c r="A149" s="124" t="s">
        <v>49</v>
      </c>
      <c r="B149" s="125"/>
      <c r="F149" s="119" t="s">
        <v>17</v>
      </c>
      <c r="L149" s="127"/>
    </row>
    <row r="150" spans="1:12" x14ac:dyDescent="0.2">
      <c r="A150" s="107" t="s">
        <v>51</v>
      </c>
      <c r="B150" s="125"/>
      <c r="F150" s="122" t="s">
        <v>17</v>
      </c>
      <c r="L150" s="127"/>
    </row>
    <row r="151" spans="1:12" ht="90.75" thickBot="1" x14ac:dyDescent="0.25">
      <c r="A151" s="124" t="s">
        <v>53</v>
      </c>
      <c r="B151" s="125"/>
      <c r="F151" s="123" t="s">
        <v>1037</v>
      </c>
      <c r="L151" s="127"/>
    </row>
    <row r="152" spans="1:12" ht="11.25" customHeight="1" thickBot="1" x14ac:dyDescent="0.25">
      <c r="A152" s="124" t="s">
        <v>44</v>
      </c>
      <c r="B152" s="113">
        <v>34</v>
      </c>
      <c r="C152" s="114" t="s">
        <v>1058</v>
      </c>
      <c r="D152" s="115" t="s">
        <v>17</v>
      </c>
      <c r="E152" s="115" t="s">
        <v>46</v>
      </c>
      <c r="F152" s="115" t="s">
        <v>1059</v>
      </c>
      <c r="G152" s="114" t="s">
        <v>91</v>
      </c>
      <c r="H152" s="114">
        <f>ROUND(3,3)</f>
        <v>3</v>
      </c>
      <c r="I152" s="114">
        <v>0</v>
      </c>
      <c r="J152" s="114">
        <f>ROUND(H152,3) * I152</f>
        <v>0</v>
      </c>
      <c r="K152" s="116"/>
      <c r="L152" s="117">
        <f>ROUND(ROUND(H152,3) * ROUND(K152,2),2)</f>
        <v>0</v>
      </c>
    </row>
    <row r="153" spans="1:12" x14ac:dyDescent="0.2">
      <c r="A153" s="124" t="s">
        <v>49</v>
      </c>
      <c r="B153" s="125"/>
      <c r="F153" s="119" t="s">
        <v>17</v>
      </c>
      <c r="L153" s="127"/>
    </row>
    <row r="154" spans="1:12" x14ac:dyDescent="0.2">
      <c r="A154" s="107" t="s">
        <v>51</v>
      </c>
      <c r="B154" s="125"/>
      <c r="F154" s="122" t="s">
        <v>17</v>
      </c>
      <c r="L154" s="127"/>
    </row>
    <row r="155" spans="1:12" ht="90.75" thickBot="1" x14ac:dyDescent="0.25">
      <c r="A155" s="124" t="s">
        <v>53</v>
      </c>
      <c r="B155" s="125"/>
      <c r="F155" s="123" t="s">
        <v>1060</v>
      </c>
      <c r="L155" s="127"/>
    </row>
    <row r="156" spans="1:12" ht="11.25" customHeight="1" thickBot="1" x14ac:dyDescent="0.25">
      <c r="A156" s="124" t="s">
        <v>44</v>
      </c>
      <c r="B156" s="113">
        <v>35</v>
      </c>
      <c r="C156" s="114" t="s">
        <v>1061</v>
      </c>
      <c r="D156" s="115" t="s">
        <v>17</v>
      </c>
      <c r="E156" s="115" t="s">
        <v>46</v>
      </c>
      <c r="F156" s="115" t="s">
        <v>1062</v>
      </c>
      <c r="G156" s="114" t="s">
        <v>91</v>
      </c>
      <c r="H156" s="114">
        <f>ROUND(3,3)</f>
        <v>3</v>
      </c>
      <c r="I156" s="114">
        <v>0</v>
      </c>
      <c r="J156" s="114">
        <f>ROUND(H156,3) * I156</f>
        <v>0</v>
      </c>
      <c r="K156" s="116"/>
      <c r="L156" s="117">
        <f>ROUND(ROUND(H156,3) * ROUND(K156,2),2)</f>
        <v>0</v>
      </c>
    </row>
    <row r="157" spans="1:12" x14ac:dyDescent="0.2">
      <c r="A157" s="124" t="s">
        <v>49</v>
      </c>
      <c r="B157" s="125"/>
      <c r="F157" s="119" t="s">
        <v>17</v>
      </c>
      <c r="L157" s="127"/>
    </row>
    <row r="158" spans="1:12" x14ac:dyDescent="0.2">
      <c r="A158" s="107" t="s">
        <v>51</v>
      </c>
      <c r="B158" s="125"/>
      <c r="F158" s="122" t="s">
        <v>17</v>
      </c>
      <c r="L158" s="127"/>
    </row>
    <row r="159" spans="1:12" ht="90.75" thickBot="1" x14ac:dyDescent="0.25">
      <c r="A159" s="124" t="s">
        <v>53</v>
      </c>
      <c r="B159" s="125"/>
      <c r="F159" s="123" t="s">
        <v>1060</v>
      </c>
      <c r="L159" s="127"/>
    </row>
    <row r="160" spans="1:12" ht="11.25" customHeight="1" thickBot="1" x14ac:dyDescent="0.25">
      <c r="A160" s="124" t="s">
        <v>44</v>
      </c>
      <c r="B160" s="113">
        <v>36</v>
      </c>
      <c r="C160" s="114" t="s">
        <v>1063</v>
      </c>
      <c r="D160" s="115" t="s">
        <v>17</v>
      </c>
      <c r="E160" s="115" t="s">
        <v>46</v>
      </c>
      <c r="F160" s="115" t="s">
        <v>1064</v>
      </c>
      <c r="G160" s="114" t="s">
        <v>91</v>
      </c>
      <c r="H160" s="114">
        <f>ROUND(9,3)</f>
        <v>9</v>
      </c>
      <c r="I160" s="114">
        <v>0</v>
      </c>
      <c r="J160" s="114">
        <f>ROUND(H160,3) * I160</f>
        <v>0</v>
      </c>
      <c r="K160" s="116"/>
      <c r="L160" s="117">
        <f>ROUND(ROUND(H160,3) * ROUND(K160,2),2)</f>
        <v>0</v>
      </c>
    </row>
    <row r="161" spans="1:12" x14ac:dyDescent="0.2">
      <c r="A161" s="124" t="s">
        <v>49</v>
      </c>
      <c r="B161" s="125"/>
      <c r="F161" s="119" t="s">
        <v>17</v>
      </c>
      <c r="L161" s="127"/>
    </row>
    <row r="162" spans="1:12" x14ac:dyDescent="0.2">
      <c r="A162" s="107" t="s">
        <v>51</v>
      </c>
      <c r="B162" s="125"/>
      <c r="F162" s="122" t="s">
        <v>17</v>
      </c>
      <c r="L162" s="127"/>
    </row>
    <row r="163" spans="1:12" ht="79.5" thickBot="1" x14ac:dyDescent="0.25">
      <c r="A163" s="124" t="s">
        <v>53</v>
      </c>
      <c r="B163" s="125"/>
      <c r="F163" s="123" t="s">
        <v>1065</v>
      </c>
      <c r="L163" s="127"/>
    </row>
    <row r="164" spans="1:12" ht="11.25" customHeight="1" thickBot="1" x14ac:dyDescent="0.25">
      <c r="A164" s="124" t="s">
        <v>44</v>
      </c>
      <c r="B164" s="113">
        <v>37</v>
      </c>
      <c r="C164" s="114" t="s">
        <v>1066</v>
      </c>
      <c r="D164" s="115" t="s">
        <v>17</v>
      </c>
      <c r="E164" s="115" t="s">
        <v>46</v>
      </c>
      <c r="F164" s="115" t="s">
        <v>1067</v>
      </c>
      <c r="G164" s="114" t="s">
        <v>91</v>
      </c>
      <c r="H164" s="114">
        <f>ROUND(1,3)</f>
        <v>1</v>
      </c>
      <c r="I164" s="114">
        <v>0</v>
      </c>
      <c r="J164" s="114">
        <f>ROUND(H164,3) * I164</f>
        <v>0</v>
      </c>
      <c r="K164" s="116"/>
      <c r="L164" s="117">
        <f>ROUND(ROUND(H164,3) * ROUND(K164,2),2)</f>
        <v>0</v>
      </c>
    </row>
    <row r="165" spans="1:12" x14ac:dyDescent="0.2">
      <c r="A165" s="124" t="s">
        <v>49</v>
      </c>
      <c r="B165" s="125"/>
      <c r="F165" s="119" t="s">
        <v>17</v>
      </c>
      <c r="L165" s="127"/>
    </row>
    <row r="166" spans="1:12" x14ac:dyDescent="0.2">
      <c r="A166" s="107" t="s">
        <v>51</v>
      </c>
      <c r="B166" s="125"/>
      <c r="F166" s="122" t="s">
        <v>17</v>
      </c>
      <c r="L166" s="127"/>
    </row>
    <row r="167" spans="1:12" ht="102" thickBot="1" x14ac:dyDescent="0.25">
      <c r="A167" s="124" t="s">
        <v>53</v>
      </c>
      <c r="B167" s="125"/>
      <c r="F167" s="123" t="s">
        <v>1068</v>
      </c>
      <c r="L167" s="127"/>
    </row>
    <row r="168" spans="1:12" ht="11.25" customHeight="1" thickBot="1" x14ac:dyDescent="0.25">
      <c r="A168" s="124" t="s">
        <v>44</v>
      </c>
      <c r="B168" s="113">
        <v>38</v>
      </c>
      <c r="C168" s="114" t="s">
        <v>1069</v>
      </c>
      <c r="D168" s="115" t="s">
        <v>17</v>
      </c>
      <c r="E168" s="115" t="s">
        <v>46</v>
      </c>
      <c r="F168" s="115" t="s">
        <v>1070</v>
      </c>
      <c r="G168" s="114" t="s">
        <v>91</v>
      </c>
      <c r="H168" s="114">
        <f>ROUND(1,3)</f>
        <v>1</v>
      </c>
      <c r="I168" s="114">
        <v>0</v>
      </c>
      <c r="J168" s="114">
        <f>ROUND(H168,3) * I168</f>
        <v>0</v>
      </c>
      <c r="K168" s="116"/>
      <c r="L168" s="117">
        <f>ROUND(ROUND(H168,3) * ROUND(K168,2),2)</f>
        <v>0</v>
      </c>
    </row>
    <row r="169" spans="1:12" x14ac:dyDescent="0.2">
      <c r="A169" s="124" t="s">
        <v>49</v>
      </c>
      <c r="B169" s="125"/>
      <c r="F169" s="119" t="s">
        <v>17</v>
      </c>
      <c r="L169" s="127"/>
    </row>
    <row r="170" spans="1:12" x14ac:dyDescent="0.2">
      <c r="A170" s="107" t="s">
        <v>51</v>
      </c>
      <c r="B170" s="125"/>
      <c r="F170" s="122" t="s">
        <v>17</v>
      </c>
      <c r="L170" s="127"/>
    </row>
    <row r="171" spans="1:12" ht="90.75" thickBot="1" x14ac:dyDescent="0.25">
      <c r="A171" s="124" t="s">
        <v>53</v>
      </c>
      <c r="B171" s="125"/>
      <c r="F171" s="123" t="s">
        <v>1071</v>
      </c>
      <c r="L171" s="127"/>
    </row>
    <row r="172" spans="1:12" ht="11.25" customHeight="1" thickBot="1" x14ac:dyDescent="0.25">
      <c r="A172" s="124" t="s">
        <v>44</v>
      </c>
      <c r="B172" s="113">
        <v>39</v>
      </c>
      <c r="C172" s="114" t="s">
        <v>1072</v>
      </c>
      <c r="D172" s="115" t="s">
        <v>17</v>
      </c>
      <c r="E172" s="115" t="s">
        <v>46</v>
      </c>
      <c r="F172" s="115" t="s">
        <v>1073</v>
      </c>
      <c r="G172" s="114" t="s">
        <v>91</v>
      </c>
      <c r="H172" s="114">
        <f>ROUND(1,3)</f>
        <v>1</v>
      </c>
      <c r="I172" s="114">
        <v>0</v>
      </c>
      <c r="J172" s="114">
        <f>ROUND(H172,3) * I172</f>
        <v>0</v>
      </c>
      <c r="K172" s="116"/>
      <c r="L172" s="117">
        <f>ROUND(ROUND(H172,3) * ROUND(K172,2),2)</f>
        <v>0</v>
      </c>
    </row>
    <row r="173" spans="1:12" x14ac:dyDescent="0.2">
      <c r="A173" s="124" t="s">
        <v>49</v>
      </c>
      <c r="B173" s="125"/>
      <c r="F173" s="119" t="s">
        <v>17</v>
      </c>
      <c r="L173" s="127"/>
    </row>
    <row r="174" spans="1:12" x14ac:dyDescent="0.2">
      <c r="A174" s="107" t="s">
        <v>51</v>
      </c>
      <c r="B174" s="125"/>
      <c r="F174" s="122" t="s">
        <v>17</v>
      </c>
      <c r="L174" s="127"/>
    </row>
    <row r="175" spans="1:12" ht="79.5" thickBot="1" x14ac:dyDescent="0.25">
      <c r="A175" s="124" t="s">
        <v>53</v>
      </c>
      <c r="B175" s="125"/>
      <c r="F175" s="123" t="s">
        <v>1074</v>
      </c>
      <c r="L175" s="127"/>
    </row>
    <row r="176" spans="1:12" ht="11.25" customHeight="1" thickBot="1" x14ac:dyDescent="0.25">
      <c r="A176" s="124" t="s">
        <v>44</v>
      </c>
      <c r="B176" s="113">
        <v>40</v>
      </c>
      <c r="C176" s="114" t="s">
        <v>291</v>
      </c>
      <c r="D176" s="115" t="s">
        <v>17</v>
      </c>
      <c r="E176" s="115" t="s">
        <v>46</v>
      </c>
      <c r="F176" s="115" t="s">
        <v>292</v>
      </c>
      <c r="G176" s="114" t="s">
        <v>214</v>
      </c>
      <c r="H176" s="114">
        <f>ROUND(20,3)</f>
        <v>20</v>
      </c>
      <c r="I176" s="114">
        <v>0</v>
      </c>
      <c r="J176" s="114">
        <f>ROUND(H176,3) * I176</f>
        <v>0</v>
      </c>
      <c r="K176" s="116"/>
      <c r="L176" s="117">
        <f>ROUND(ROUND(H176,3) * ROUND(K176,2),2)</f>
        <v>0</v>
      </c>
    </row>
    <row r="177" spans="1:12" x14ac:dyDescent="0.2">
      <c r="A177" s="124" t="s">
        <v>49</v>
      </c>
      <c r="B177" s="125"/>
      <c r="F177" s="119" t="s">
        <v>17</v>
      </c>
      <c r="L177" s="127"/>
    </row>
    <row r="178" spans="1:12" x14ac:dyDescent="0.2">
      <c r="A178" s="107" t="s">
        <v>51</v>
      </c>
      <c r="B178" s="125"/>
      <c r="F178" s="122" t="s">
        <v>17</v>
      </c>
      <c r="L178" s="127"/>
    </row>
    <row r="179" spans="1:12" ht="79.5" thickBot="1" x14ac:dyDescent="0.25">
      <c r="A179" s="124" t="s">
        <v>53</v>
      </c>
      <c r="B179" s="125"/>
      <c r="F179" s="123" t="s">
        <v>293</v>
      </c>
      <c r="L179" s="127"/>
    </row>
    <row r="180" spans="1:12" ht="11.25" customHeight="1" thickBot="1" x14ac:dyDescent="0.25">
      <c r="A180" s="124" t="s">
        <v>44</v>
      </c>
      <c r="B180" s="113">
        <v>41</v>
      </c>
      <c r="C180" s="114" t="s">
        <v>1075</v>
      </c>
      <c r="D180" s="115" t="s">
        <v>17</v>
      </c>
      <c r="E180" s="115" t="s">
        <v>46</v>
      </c>
      <c r="F180" s="115" t="s">
        <v>1076</v>
      </c>
      <c r="G180" s="114" t="s">
        <v>214</v>
      </c>
      <c r="H180" s="114">
        <f>ROUND(2,3)</f>
        <v>2</v>
      </c>
      <c r="I180" s="114">
        <v>0</v>
      </c>
      <c r="J180" s="114">
        <f>ROUND(H180,3) * I180</f>
        <v>0</v>
      </c>
      <c r="K180" s="116"/>
      <c r="L180" s="117">
        <f>ROUND(ROUND(H180,3) * ROUND(K180,2),2)</f>
        <v>0</v>
      </c>
    </row>
    <row r="181" spans="1:12" x14ac:dyDescent="0.2">
      <c r="A181" s="124" t="s">
        <v>49</v>
      </c>
      <c r="B181" s="125"/>
      <c r="F181" s="119" t="s">
        <v>17</v>
      </c>
      <c r="L181" s="127"/>
    </row>
    <row r="182" spans="1:12" x14ac:dyDescent="0.2">
      <c r="A182" s="107" t="s">
        <v>51</v>
      </c>
      <c r="B182" s="125"/>
      <c r="F182" s="122" t="s">
        <v>17</v>
      </c>
      <c r="L182" s="127"/>
    </row>
    <row r="183" spans="1:12" ht="90.75" thickBot="1" x14ac:dyDescent="0.25">
      <c r="A183" s="124" t="s">
        <v>53</v>
      </c>
      <c r="B183" s="125"/>
      <c r="F183" s="123" t="s">
        <v>1077</v>
      </c>
      <c r="L183" s="127"/>
    </row>
    <row r="184" spans="1:12" ht="11.25" customHeight="1" thickBot="1" x14ac:dyDescent="0.25">
      <c r="A184" s="124" t="s">
        <v>44</v>
      </c>
      <c r="B184" s="113">
        <v>42</v>
      </c>
      <c r="C184" s="114" t="s">
        <v>1078</v>
      </c>
      <c r="D184" s="115" t="s">
        <v>17</v>
      </c>
      <c r="E184" s="115" t="s">
        <v>46</v>
      </c>
      <c r="F184" s="115" t="s">
        <v>1079</v>
      </c>
      <c r="G184" s="114" t="s">
        <v>214</v>
      </c>
      <c r="H184" s="114">
        <f>ROUND(4,3)</f>
        <v>4</v>
      </c>
      <c r="I184" s="114">
        <v>0</v>
      </c>
      <c r="J184" s="114">
        <f>ROUND(H184,3) * I184</f>
        <v>0</v>
      </c>
      <c r="K184" s="116"/>
      <c r="L184" s="117">
        <f>ROUND(ROUND(H184,3) * ROUND(K184,2),2)</f>
        <v>0</v>
      </c>
    </row>
    <row r="185" spans="1:12" x14ac:dyDescent="0.2">
      <c r="A185" s="124" t="s">
        <v>49</v>
      </c>
      <c r="B185" s="125"/>
      <c r="F185" s="119" t="s">
        <v>17</v>
      </c>
      <c r="L185" s="127"/>
    </row>
    <row r="186" spans="1:12" x14ac:dyDescent="0.2">
      <c r="A186" s="107" t="s">
        <v>51</v>
      </c>
      <c r="B186" s="125"/>
      <c r="F186" s="122" t="s">
        <v>17</v>
      </c>
      <c r="L186" s="127"/>
    </row>
    <row r="187" spans="1:12" ht="79.5" thickBot="1" x14ac:dyDescent="0.25">
      <c r="A187" s="124" t="s">
        <v>53</v>
      </c>
      <c r="B187" s="125"/>
      <c r="F187" s="123" t="s">
        <v>1080</v>
      </c>
      <c r="L187" s="127"/>
    </row>
    <row r="188" spans="1:12" ht="11.25" customHeight="1" thickBot="1" x14ac:dyDescent="0.25">
      <c r="A188" s="124" t="s">
        <v>44</v>
      </c>
      <c r="B188" s="113">
        <v>43</v>
      </c>
      <c r="C188" s="114" t="s">
        <v>1081</v>
      </c>
      <c r="D188" s="115" t="s">
        <v>17</v>
      </c>
      <c r="E188" s="115" t="s">
        <v>46</v>
      </c>
      <c r="F188" s="115" t="s">
        <v>1082</v>
      </c>
      <c r="G188" s="114" t="s">
        <v>214</v>
      </c>
      <c r="H188" s="114">
        <f>ROUND(4,3)</f>
        <v>4</v>
      </c>
      <c r="I188" s="114">
        <v>0</v>
      </c>
      <c r="J188" s="114">
        <f>ROUND(H188,3) * I188</f>
        <v>0</v>
      </c>
      <c r="K188" s="116"/>
      <c r="L188" s="117">
        <f>ROUND(ROUND(H188,3) * ROUND(K188,2),2)</f>
        <v>0</v>
      </c>
    </row>
    <row r="189" spans="1:12" x14ac:dyDescent="0.2">
      <c r="A189" s="124" t="s">
        <v>49</v>
      </c>
      <c r="B189" s="125"/>
      <c r="F189" s="119" t="s">
        <v>17</v>
      </c>
      <c r="L189" s="127"/>
    </row>
    <row r="190" spans="1:12" x14ac:dyDescent="0.2">
      <c r="A190" s="107" t="s">
        <v>51</v>
      </c>
      <c r="B190" s="125"/>
      <c r="F190" s="122" t="s">
        <v>17</v>
      </c>
      <c r="L190" s="127"/>
    </row>
    <row r="191" spans="1:12" ht="79.5" thickBot="1" x14ac:dyDescent="0.25">
      <c r="A191" s="124" t="s">
        <v>53</v>
      </c>
      <c r="B191" s="125"/>
      <c r="F191" s="123" t="s">
        <v>1083</v>
      </c>
      <c r="L191" s="127"/>
    </row>
    <row r="192" spans="1:12" ht="11.25" customHeight="1" thickBot="1" x14ac:dyDescent="0.25">
      <c r="A192" s="124" t="s">
        <v>44</v>
      </c>
      <c r="B192" s="113">
        <v>44</v>
      </c>
      <c r="C192" s="114" t="s">
        <v>1084</v>
      </c>
      <c r="D192" s="115" t="s">
        <v>17</v>
      </c>
      <c r="E192" s="115" t="s">
        <v>46</v>
      </c>
      <c r="F192" s="115" t="s">
        <v>1085</v>
      </c>
      <c r="G192" s="114" t="s">
        <v>214</v>
      </c>
      <c r="H192" s="114">
        <f>ROUND(8,3)</f>
        <v>8</v>
      </c>
      <c r="I192" s="114">
        <v>0</v>
      </c>
      <c r="J192" s="114">
        <f>ROUND(H192,3) * I192</f>
        <v>0</v>
      </c>
      <c r="K192" s="116"/>
      <c r="L192" s="117">
        <f>ROUND(ROUND(H192,3) * ROUND(K192,2),2)</f>
        <v>0</v>
      </c>
    </row>
    <row r="193" spans="1:12" x14ac:dyDescent="0.2">
      <c r="A193" s="124" t="s">
        <v>49</v>
      </c>
      <c r="B193" s="125"/>
      <c r="F193" s="119" t="s">
        <v>17</v>
      </c>
      <c r="L193" s="127"/>
    </row>
    <row r="194" spans="1:12" x14ac:dyDescent="0.2">
      <c r="A194" s="107" t="s">
        <v>51</v>
      </c>
      <c r="B194" s="125"/>
      <c r="F194" s="122" t="s">
        <v>17</v>
      </c>
      <c r="L194" s="127"/>
    </row>
    <row r="195" spans="1:12" ht="79.5" thickBot="1" x14ac:dyDescent="0.25">
      <c r="A195" s="124" t="s">
        <v>53</v>
      </c>
      <c r="B195" s="125"/>
      <c r="F195" s="123" t="s">
        <v>1086</v>
      </c>
      <c r="L195" s="127"/>
    </row>
    <row r="196" spans="1:12" ht="11.25" customHeight="1" thickBot="1" x14ac:dyDescent="0.25">
      <c r="A196" s="124" t="s">
        <v>44</v>
      </c>
      <c r="B196" s="113">
        <v>45</v>
      </c>
      <c r="C196" s="114" t="s">
        <v>1087</v>
      </c>
      <c r="D196" s="115" t="s">
        <v>17</v>
      </c>
      <c r="E196" s="115" t="s">
        <v>46</v>
      </c>
      <c r="F196" s="115" t="s">
        <v>1088</v>
      </c>
      <c r="G196" s="114" t="s">
        <v>91</v>
      </c>
      <c r="H196" s="114">
        <f>ROUND(1,3)</f>
        <v>1</v>
      </c>
      <c r="I196" s="114">
        <v>0</v>
      </c>
      <c r="J196" s="114">
        <f>ROUND(H196,3) * I196</f>
        <v>0</v>
      </c>
      <c r="K196" s="116"/>
      <c r="L196" s="117">
        <f>ROUND(ROUND(H196,3) * ROUND(K196,2),2)</f>
        <v>0</v>
      </c>
    </row>
    <row r="197" spans="1:12" x14ac:dyDescent="0.2">
      <c r="A197" s="124" t="s">
        <v>49</v>
      </c>
      <c r="B197" s="125"/>
      <c r="F197" s="119" t="s">
        <v>17</v>
      </c>
      <c r="L197" s="127"/>
    </row>
    <row r="198" spans="1:12" x14ac:dyDescent="0.2">
      <c r="A198" s="107" t="s">
        <v>51</v>
      </c>
      <c r="B198" s="125"/>
      <c r="F198" s="122" t="s">
        <v>17</v>
      </c>
      <c r="L198" s="127"/>
    </row>
    <row r="199" spans="1:12" ht="90.75" thickBot="1" x14ac:dyDescent="0.25">
      <c r="A199" s="124" t="s">
        <v>53</v>
      </c>
      <c r="B199" s="125"/>
      <c r="F199" s="123" t="s">
        <v>1037</v>
      </c>
      <c r="L199" s="127"/>
    </row>
    <row r="200" spans="1:12" ht="13.5" customHeight="1" thickBot="1" x14ac:dyDescent="0.25">
      <c r="B200" s="128" t="s">
        <v>58</v>
      </c>
      <c r="C200" s="129" t="s">
        <v>59</v>
      </c>
      <c r="D200" s="130"/>
      <c r="E200" s="130"/>
      <c r="F200" s="130" t="s">
        <v>120</v>
      </c>
      <c r="G200" s="130"/>
      <c r="H200" s="130"/>
      <c r="I200" s="130"/>
      <c r="J200" s="130"/>
      <c r="K200" s="130"/>
      <c r="L200" s="131">
        <f>SUM(L80:L199)</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74" priority="1">
      <formula>$E$5="Ostatní"</formula>
    </cfRule>
    <cfRule type="expression" dxfId="173"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18310215-AFC5-4520-BA6D-3E0F83FDA968}"/>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9B6829F2-C64A-4A5A-88D1-631255DCC38D}">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2ED11A5D-2770-480A-852D-8999B17D6F97}">
      <formula1>42370</formula1>
      <formula2>55153</formula2>
    </dataValidation>
    <dataValidation allowBlank="1" showInputMessage="1" showErrorMessage="1" promptTitle="S-kód" prompt="Číslo pod kterým je stavba evidovaná v systému SŽDC." sqref="K6" xr:uid="{5F7AA289-7DCC-4BED-A6E0-CEC8527CED58}"/>
    <dataValidation type="date" allowBlank="1" showInputMessage="1" showErrorMessage="1" errorTitle="Špatný datum" error="Datum musí být v rozmezí_x000a_od 1.1.2016_x000a_do 31.12.2050" promptTitle="Vložit datum" prompt="ve formátu: dd.mm.rrrr" sqref="K8" xr:uid="{996D8B64-ABA8-46BE-A534-77E4B5524A03}">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6509AC1F-BDBD-47CB-81FF-A161A1E95B40}">
      <formula1>"801,802,803,811,812, 813, 814,815, 817, 821,822, 823,824,825,826,827,828,831,832,833,838,839"</formula1>
    </dataValidation>
    <dataValidation type="list" allowBlank="1" showInputMessage="1" showErrorMessage="1" promptTitle="Výběr stádia dle seznamu:" prompt="Stádium 3_x000a_Stádium 2" sqref="E5" xr:uid="{09BF1ECC-894B-4E36-9F2E-913401F927D5}">
      <formula1>"Stádium 2,Stádium 3"</formula1>
    </dataValidation>
    <dataValidation type="date" allowBlank="1" showInputMessage="1" showErrorMessage="1" sqref="L8" xr:uid="{AD1136B3-82C2-420B-9817-3C75325B0053}">
      <formula1>42370</formula1>
      <formula2>55153</formula2>
    </dataValidation>
    <dataValidation type="list" allowBlank="1" showInputMessage="1" showErrorMessage="1" sqref="E6" xr:uid="{349318B0-8A9C-4E7A-B0A5-247CA5E18E4D}">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6D3C6-7827-4878-A745-81866022F8B1}">
  <sheetPr codeName="List19">
    <pageSetUpPr fitToPage="1"/>
  </sheetPr>
  <dimension ref="A1:O88"/>
  <sheetViews>
    <sheetView showGridLines="0" tabSelected="1" topLeftCell="B71" zoomScale="85" zoomScaleNormal="85" zoomScaleSheetLayoutView="85" workbookViewId="0">
      <selection activeCell="L89" sqref="L89"/>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28.28515625" style="124" customWidth="1"/>
    <col min="15" max="15" width="9.140625" style="124" customWidth="1"/>
    <col min="16" max="16384" width="9.140625" style="124"/>
  </cols>
  <sheetData>
    <row r="1" spans="1:15" s="67" customFormat="1" ht="30.75" customHeight="1" thickTop="1" thickBot="1" x14ac:dyDescent="0.3">
      <c r="B1" s="270" t="s">
        <v>1091</v>
      </c>
      <c r="C1" s="271"/>
      <c r="D1" s="271"/>
      <c r="E1" s="170"/>
      <c r="F1" s="170" t="s">
        <v>0</v>
      </c>
      <c r="G1" s="170"/>
      <c r="H1" s="171"/>
      <c r="I1" s="68"/>
      <c r="J1" s="69"/>
      <c r="K1" s="69"/>
      <c r="L1" s="70" t="str">
        <f>D3</f>
        <v>SO 98-98</v>
      </c>
      <c r="M1" s="172"/>
    </row>
    <row r="2" spans="1:15" s="67" customFormat="1" ht="57" customHeight="1" thickTop="1" thickBot="1" x14ac:dyDescent="0.3">
      <c r="B2" s="261" t="s">
        <v>2</v>
      </c>
      <c r="C2" s="262"/>
      <c r="D2" s="71"/>
      <c r="E2" s="72"/>
      <c r="F2" s="133" t="s">
        <v>1092</v>
      </c>
      <c r="G2" s="74"/>
      <c r="H2" s="75"/>
      <c r="I2" s="263" t="s">
        <v>5</v>
      </c>
      <c r="J2" s="264"/>
      <c r="K2" s="272">
        <f>SUMIFS(L:L,B:B,"SOUČET")</f>
        <v>0</v>
      </c>
      <c r="L2" s="247"/>
    </row>
    <row r="3" spans="1:15" s="67" customFormat="1" ht="42.75" customHeight="1" thickTop="1" thickBot="1" x14ac:dyDescent="0.3">
      <c r="B3" s="76" t="s">
        <v>6</v>
      </c>
      <c r="C3" s="77"/>
      <c r="D3" s="273" t="s">
        <v>1093</v>
      </c>
      <c r="E3" s="273"/>
      <c r="F3" s="134" t="s">
        <v>1094</v>
      </c>
      <c r="G3" s="81"/>
      <c r="H3" s="82"/>
      <c r="I3" s="173"/>
      <c r="J3" s="84"/>
      <c r="K3" s="274"/>
      <c r="L3" s="275"/>
    </row>
    <row r="4" spans="1:15" s="67" customFormat="1" ht="18" customHeight="1" thickTop="1" x14ac:dyDescent="0.25">
      <c r="B4" s="256" t="s">
        <v>8</v>
      </c>
      <c r="C4" s="245"/>
      <c r="D4" s="253"/>
      <c r="E4" s="135"/>
      <c r="F4" s="86" t="str">
        <f>IF(E4='[18]Kategorie monitoringu'!A1,'[18]Kategorie monitoringu'!B1,IF(E4='[18]Kategorie monitoringu'!A2,'[18]Kategorie monitoringu'!B2,IF(E4='[18]Kategorie monitoringu'!A3,'[18]Kategorie monitoringu'!B3,IF(E4='[18]Kategorie monitoringu'!A4,'[18]Kategorie monitoringu'!B4,IF(E4='[18]Kategorie monitoringu'!A5,'[18]Kategorie monitoringu'!B5,IF(E4='[18]Kategorie monitoringu'!A6,'[18]Kategorie monitoringu'!B6,IF(E4='[18]Kategorie monitoringu'!A7,'[18]Kategorie monitoringu'!B7,IF(E4='[18]Kategorie monitoringu'!A8,'[18]Kategorie monitoringu'!B8,IF(E4='[18]Kategorie monitoringu'!A9,'[18]Kategorie monitoringu'!B9,IF(E4='[18]Kategorie monitoringu'!A10,'[18]Kategorie monitoringu'!B10,IF(E4='[18]Kategorie monitoringu'!A11,'[18]Kategorie monitoringu'!B11,IF(E4='[18]Kategorie monitoringu'!A12,'[18]Kategorie monitoringu'!B12,IF(E4='[18]Kategorie monitoringu'!A13,'[18]Kategorie monitoringu'!B13,IF(E4='[18]Kategorie monitoringu'!A14,'[18]Kategorie monitoringu'!B14,IF(E4='[18]Kategorie monitoringu'!A15,'[18]Kategorie monitoringu'!B15,IF(E4='[18]Kategorie monitoringu'!A16,'[18]Kategorie monitoringu'!B16,IF(E4='[18]Kategorie monitoringu'!A17,'[18]Kategorie monitoringu'!B17,IF(E4='[18]Kategorie monitoringu'!A18,'[18]Kategorie monitoringu'!B18,IF(E4='[18]Kategorie monitoringu'!A19,'[18]Kategorie monitoringu'!B19,IF(E4='[18]Kategorie monitoringu'!A20,'[18]Kategorie monitoringu'!B20,IF(E4='[18]Kategorie monitoringu'!A21,'[18]Kategorie monitoringu'!B21,IF(E4='[18]Kategorie monitoringu'!A22,'[18]Kategorie monitoringu'!B22,IF(E4='[18]Kategorie monitoringu'!A23,'[18]Kategorie monitoringu'!B23,IF(E4='[18]Kategorie monitoringu'!A24,'[18]Kategorie monitoringu'!B24,IF(E4='[18]Kategorie monitoringu'!A25,'[18]Kategorie monitoringu'!B25,"")))))))))))))))))))))))))</f>
        <v/>
      </c>
      <c r="G4" s="87"/>
      <c r="H4" s="88"/>
      <c r="I4" s="257" t="s">
        <v>10</v>
      </c>
      <c r="J4" s="258"/>
      <c r="K4" s="136"/>
      <c r="L4" s="137"/>
    </row>
    <row r="5" spans="1:15" s="67" customFormat="1" ht="18" customHeight="1" x14ac:dyDescent="0.25">
      <c r="B5" s="91" t="s">
        <v>11</v>
      </c>
      <c r="C5" s="92"/>
      <c r="D5" s="92"/>
      <c r="E5" s="135" t="s">
        <v>12</v>
      </c>
      <c r="F5" s="250" t="str">
        <f>IF((E5="Stádium 2"),"  Dokumentace pro územní řízení - DUR",(IF((E5="Stádium 3"),"  Projektová dokumentace (DOS/DSP)","")))</f>
        <v xml:space="preserve">  Projektová dokumentace (DOS/DSP)</v>
      </c>
      <c r="G5" s="250"/>
      <c r="H5" s="251"/>
      <c r="I5" s="252" t="s">
        <v>13</v>
      </c>
      <c r="J5" s="253"/>
      <c r="K5" s="138"/>
      <c r="L5" s="94"/>
    </row>
    <row r="6" spans="1:15" s="67" customFormat="1" ht="18" customHeight="1" x14ac:dyDescent="0.2">
      <c r="B6" s="91" t="s">
        <v>15</v>
      </c>
      <c r="C6" s="92"/>
      <c r="D6" s="92"/>
      <c r="E6" s="138" t="s">
        <v>1095</v>
      </c>
      <c r="F6" s="254"/>
      <c r="G6" s="254"/>
      <c r="H6" s="255"/>
      <c r="I6" s="252" t="s">
        <v>18</v>
      </c>
      <c r="J6" s="253"/>
      <c r="K6" s="138"/>
      <c r="L6" s="94"/>
      <c r="O6" s="95"/>
    </row>
    <row r="7" spans="1:15" s="67" customFormat="1" ht="18" customHeight="1" x14ac:dyDescent="0.2">
      <c r="B7" s="240" t="s">
        <v>20</v>
      </c>
      <c r="C7" s="231"/>
      <c r="D7" s="231"/>
      <c r="E7" s="174"/>
      <c r="F7" s="241" t="s">
        <v>21</v>
      </c>
      <c r="G7" s="242"/>
      <c r="H7" s="243"/>
      <c r="I7" s="244" t="s">
        <v>22</v>
      </c>
      <c r="J7" s="245"/>
      <c r="K7" s="175">
        <v>2018</v>
      </c>
      <c r="L7" s="94"/>
      <c r="O7" s="98"/>
    </row>
    <row r="8" spans="1:15" s="67" customFormat="1" ht="19.5" customHeight="1" thickBot="1" x14ac:dyDescent="0.3">
      <c r="B8" s="226" t="s">
        <v>23</v>
      </c>
      <c r="C8" s="227"/>
      <c r="D8" s="227"/>
      <c r="E8" s="176"/>
      <c r="F8" s="177" t="s">
        <v>24</v>
      </c>
      <c r="G8" s="268" t="s">
        <v>25</v>
      </c>
      <c r="H8" s="269"/>
      <c r="I8" s="230" t="s">
        <v>26</v>
      </c>
      <c r="J8" s="231"/>
      <c r="K8" s="178"/>
      <c r="L8" s="102"/>
    </row>
    <row r="9" spans="1:15" s="67" customFormat="1" ht="9.75" customHeight="1" x14ac:dyDescent="0.25">
      <c r="B9" s="232" t="str">
        <f>F2</f>
        <v>"Rekonstrukce PZS přejezdu P7566 v km 72,988 trati Olomouc - Krnov"</v>
      </c>
      <c r="C9" s="233"/>
      <c r="D9" s="233"/>
      <c r="E9" s="233"/>
      <c r="F9" s="233"/>
      <c r="G9" s="233"/>
      <c r="H9" s="233"/>
      <c r="I9" s="233"/>
      <c r="J9" s="233"/>
      <c r="K9" s="103" t="str">
        <f>$I$5</f>
        <v>ISPROFIN:</v>
      </c>
      <c r="L9" s="104">
        <f>K5</f>
        <v>0</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65"/>
      <c r="C12" s="266"/>
      <c r="D12" s="266"/>
      <c r="E12" s="266"/>
      <c r="F12" s="267"/>
      <c r="G12" s="267"/>
      <c r="H12" s="267"/>
      <c r="I12" s="266"/>
      <c r="J12" s="266"/>
      <c r="K12" s="179" t="s">
        <v>38</v>
      </c>
      <c r="L12" s="180" t="s">
        <v>39</v>
      </c>
    </row>
    <row r="13" spans="1:15" s="107" customFormat="1" ht="15" customHeight="1" thickBot="1" x14ac:dyDescent="0.3">
      <c r="A13" s="139" t="s">
        <v>40</v>
      </c>
      <c r="B13" s="140" t="s">
        <v>41</v>
      </c>
      <c r="C13" s="141">
        <v>1</v>
      </c>
      <c r="D13" s="142"/>
      <c r="E13" s="142"/>
      <c r="F13" s="143" t="s">
        <v>1096</v>
      </c>
      <c r="G13" s="141"/>
      <c r="H13" s="141"/>
      <c r="I13" s="141"/>
      <c r="J13" s="141"/>
      <c r="K13" s="141"/>
      <c r="L13" s="144"/>
    </row>
    <row r="14" spans="1:15" s="107" customFormat="1" ht="13.5" customHeight="1" thickBot="1" x14ac:dyDescent="0.3">
      <c r="A14" s="107" t="s">
        <v>44</v>
      </c>
      <c r="B14" s="181">
        <f>1+MAX($B$13:B13)</f>
        <v>1</v>
      </c>
      <c r="C14" s="146" t="s">
        <v>1097</v>
      </c>
      <c r="D14" s="147"/>
      <c r="E14" s="148" t="s">
        <v>1098</v>
      </c>
      <c r="F14" s="149" t="s">
        <v>1099</v>
      </c>
      <c r="G14" s="148" t="s">
        <v>48</v>
      </c>
      <c r="H14" s="150">
        <v>1</v>
      </c>
      <c r="I14" s="148"/>
      <c r="J14" s="157" t="str">
        <f>IF(I14=0,"",I14*H14)</f>
        <v/>
      </c>
      <c r="K14" s="151"/>
      <c r="L14" s="152">
        <f>ROUND((ROUND(H14,3))*(ROUND(K14,2)),2)</f>
        <v>0</v>
      </c>
    </row>
    <row r="15" spans="1:15" s="107" customFormat="1" ht="12.75" customHeight="1" x14ac:dyDescent="0.25">
      <c r="A15" s="107" t="s">
        <v>49</v>
      </c>
      <c r="B15" s="153"/>
      <c r="F15" s="154" t="s">
        <v>1100</v>
      </c>
      <c r="G15" s="120"/>
      <c r="H15" s="120"/>
      <c r="I15" s="120"/>
      <c r="J15" s="120"/>
      <c r="K15" s="120"/>
      <c r="L15" s="155"/>
    </row>
    <row r="16" spans="1:15" s="107" customFormat="1" ht="12.75" customHeight="1" x14ac:dyDescent="0.25">
      <c r="A16" s="107" t="s">
        <v>51</v>
      </c>
      <c r="B16" s="153"/>
      <c r="F16" s="156" t="s">
        <v>1101</v>
      </c>
      <c r="G16" s="120"/>
      <c r="H16" s="120"/>
      <c r="I16" s="120"/>
      <c r="J16" s="120"/>
      <c r="K16" s="120"/>
      <c r="L16" s="155"/>
    </row>
    <row r="17" spans="1:12" s="107" customFormat="1" ht="72" customHeight="1" thickBot="1" x14ac:dyDescent="0.3">
      <c r="A17" s="107" t="s">
        <v>53</v>
      </c>
      <c r="B17" s="159"/>
      <c r="C17" s="160"/>
      <c r="D17" s="160"/>
      <c r="E17" s="160"/>
      <c r="F17" s="161" t="s">
        <v>1102</v>
      </c>
      <c r="G17" s="162"/>
      <c r="H17" s="162"/>
      <c r="I17" s="162"/>
      <c r="J17" s="162"/>
      <c r="K17" s="162"/>
      <c r="L17" s="163"/>
    </row>
    <row r="18" spans="1:12" s="107" customFormat="1" ht="13.5" customHeight="1" thickBot="1" x14ac:dyDescent="0.3">
      <c r="A18" s="107" t="s">
        <v>44</v>
      </c>
      <c r="B18" s="145">
        <f>1+MAX($B$13:B17)</f>
        <v>2</v>
      </c>
      <c r="C18" s="146" t="s">
        <v>1103</v>
      </c>
      <c r="D18" s="147"/>
      <c r="E18" s="148" t="s">
        <v>1098</v>
      </c>
      <c r="F18" s="149" t="s">
        <v>1104</v>
      </c>
      <c r="G18" s="148" t="s">
        <v>48</v>
      </c>
      <c r="H18" s="150">
        <v>1</v>
      </c>
      <c r="I18" s="148"/>
      <c r="J18" s="157" t="str">
        <f>IF(I18=0,"",I18*H18)</f>
        <v/>
      </c>
      <c r="K18" s="151"/>
      <c r="L18" s="152">
        <f>ROUND((ROUND(H18,3))*(ROUND(K18,2)),2)</f>
        <v>0</v>
      </c>
    </row>
    <row r="19" spans="1:12" s="107" customFormat="1" ht="12.75" customHeight="1" x14ac:dyDescent="0.25">
      <c r="A19" s="107" t="s">
        <v>49</v>
      </c>
      <c r="B19" s="153"/>
      <c r="F19" s="154" t="s">
        <v>1105</v>
      </c>
      <c r="G19" s="120"/>
      <c r="H19" s="120"/>
      <c r="I19" s="120"/>
      <c r="J19" s="120"/>
      <c r="K19" s="120"/>
      <c r="L19" s="155"/>
    </row>
    <row r="20" spans="1:12" s="107" customFormat="1" ht="12.75" customHeight="1" x14ac:dyDescent="0.25">
      <c r="A20" s="107" t="s">
        <v>51</v>
      </c>
      <c r="B20" s="153"/>
      <c r="F20" s="156" t="s">
        <v>1101</v>
      </c>
      <c r="G20" s="120"/>
      <c r="H20" s="120"/>
      <c r="I20" s="120"/>
      <c r="J20" s="120"/>
      <c r="K20" s="120"/>
      <c r="L20" s="155"/>
    </row>
    <row r="21" spans="1:12" s="107" customFormat="1" ht="81" customHeight="1" thickBot="1" x14ac:dyDescent="0.3">
      <c r="A21" s="107" t="s">
        <v>53</v>
      </c>
      <c r="B21" s="159"/>
      <c r="C21" s="160"/>
      <c r="D21" s="160"/>
      <c r="E21" s="160"/>
      <c r="F21" s="161" t="s">
        <v>1106</v>
      </c>
      <c r="G21" s="162"/>
      <c r="H21" s="162"/>
      <c r="I21" s="162"/>
      <c r="J21" s="162"/>
      <c r="K21" s="162"/>
      <c r="L21" s="163"/>
    </row>
    <row r="22" spans="1:12" s="107" customFormat="1" ht="13.5" customHeight="1" thickBot="1" x14ac:dyDescent="0.3">
      <c r="A22" s="107" t="s">
        <v>44</v>
      </c>
      <c r="B22" s="145">
        <f>1+MAX($B$13:B21)</f>
        <v>3</v>
      </c>
      <c r="C22" s="146" t="s">
        <v>1107</v>
      </c>
      <c r="D22" s="147"/>
      <c r="E22" s="148" t="s">
        <v>1098</v>
      </c>
      <c r="F22" s="149" t="s">
        <v>1108</v>
      </c>
      <c r="G22" s="148" t="s">
        <v>48</v>
      </c>
      <c r="H22" s="150">
        <v>1</v>
      </c>
      <c r="I22" s="148"/>
      <c r="J22" s="157" t="str">
        <f>IF(I22=0,"",I22*H22)</f>
        <v/>
      </c>
      <c r="K22" s="151"/>
      <c r="L22" s="152">
        <f>ROUND((ROUND(H22,3))*(ROUND(K22,2)),2)</f>
        <v>0</v>
      </c>
    </row>
    <row r="23" spans="1:12" s="107" customFormat="1" ht="12.75" customHeight="1" x14ac:dyDescent="0.25">
      <c r="A23" s="107" t="s">
        <v>49</v>
      </c>
      <c r="B23" s="153"/>
      <c r="F23" s="154" t="s">
        <v>1109</v>
      </c>
      <c r="G23" s="120"/>
      <c r="H23" s="120"/>
      <c r="I23" s="120"/>
      <c r="J23" s="120"/>
      <c r="K23" s="120"/>
      <c r="L23" s="155"/>
    </row>
    <row r="24" spans="1:12" s="107" customFormat="1" ht="12.75" customHeight="1" x14ac:dyDescent="0.25">
      <c r="A24" s="107" t="s">
        <v>51</v>
      </c>
      <c r="B24" s="153"/>
      <c r="F24" s="156" t="s">
        <v>1101</v>
      </c>
      <c r="G24" s="120"/>
      <c r="H24" s="120"/>
      <c r="I24" s="120"/>
      <c r="J24" s="120"/>
      <c r="K24" s="120"/>
      <c r="L24" s="155"/>
    </row>
    <row r="25" spans="1:12" s="107" customFormat="1" ht="42.75" customHeight="1" thickBot="1" x14ac:dyDescent="0.3">
      <c r="A25" s="107" t="s">
        <v>53</v>
      </c>
      <c r="B25" s="159"/>
      <c r="C25" s="160"/>
      <c r="D25" s="160"/>
      <c r="E25" s="160"/>
      <c r="F25" s="161" t="s">
        <v>1110</v>
      </c>
      <c r="G25" s="162"/>
      <c r="H25" s="162"/>
      <c r="I25" s="162"/>
      <c r="J25" s="162"/>
      <c r="K25" s="162"/>
      <c r="L25" s="163"/>
    </row>
    <row r="26" spans="1:12" s="107" customFormat="1" ht="13.5" customHeight="1" thickBot="1" x14ac:dyDescent="0.3">
      <c r="A26" s="107" t="s">
        <v>44</v>
      </c>
      <c r="B26" s="145">
        <f>1+MAX($B$13:B25)</f>
        <v>4</v>
      </c>
      <c r="C26" s="146"/>
      <c r="D26" s="147"/>
      <c r="E26" s="148" t="s">
        <v>1098</v>
      </c>
      <c r="F26" s="149" t="s">
        <v>1111</v>
      </c>
      <c r="G26" s="148" t="s">
        <v>48</v>
      </c>
      <c r="H26" s="150"/>
      <c r="I26" s="148"/>
      <c r="J26" s="157" t="str">
        <f>IF(I26=0,"",I26*H26)</f>
        <v/>
      </c>
      <c r="K26" s="151"/>
      <c r="L26" s="158">
        <f>ROUND((ROUND(H26,3))*(ROUND(K26,2)),2)</f>
        <v>0</v>
      </c>
    </row>
    <row r="27" spans="1:12" s="107" customFormat="1" ht="12.75" customHeight="1" x14ac:dyDescent="0.25">
      <c r="A27" s="107" t="s">
        <v>49</v>
      </c>
      <c r="B27" s="153"/>
      <c r="F27" s="154" t="s">
        <v>1112</v>
      </c>
      <c r="G27" s="120"/>
      <c r="H27" s="120"/>
      <c r="I27" s="120"/>
      <c r="J27" s="120"/>
      <c r="K27" s="120"/>
      <c r="L27" s="155"/>
    </row>
    <row r="28" spans="1:12" s="107" customFormat="1" ht="12.75" customHeight="1" x14ac:dyDescent="0.25">
      <c r="A28" s="107" t="s">
        <v>51</v>
      </c>
      <c r="B28" s="153"/>
      <c r="F28" s="156" t="s">
        <v>1101</v>
      </c>
      <c r="G28" s="120"/>
      <c r="H28" s="120"/>
      <c r="I28" s="120"/>
      <c r="J28" s="120"/>
      <c r="K28" s="120"/>
      <c r="L28" s="155"/>
    </row>
    <row r="29" spans="1:12" s="107" customFormat="1" ht="51.75" customHeight="1" thickBot="1" x14ac:dyDescent="0.3">
      <c r="A29" s="107" t="s">
        <v>53</v>
      </c>
      <c r="B29" s="159"/>
      <c r="C29" s="160"/>
      <c r="D29" s="160"/>
      <c r="E29" s="160"/>
      <c r="F29" s="161" t="s">
        <v>1113</v>
      </c>
      <c r="G29" s="162"/>
      <c r="H29" s="162"/>
      <c r="I29" s="162"/>
      <c r="J29" s="162"/>
      <c r="K29" s="162"/>
      <c r="L29" s="163"/>
    </row>
    <row r="30" spans="1:12" ht="13.5" thickBot="1" x14ac:dyDescent="0.25">
      <c r="A30" s="164" t="s">
        <v>1089</v>
      </c>
      <c r="B30" s="165" t="s">
        <v>58</v>
      </c>
      <c r="C30" s="166" t="s">
        <v>1090</v>
      </c>
      <c r="D30" s="167"/>
      <c r="E30" s="167"/>
      <c r="F30" s="168" t="s">
        <v>1096</v>
      </c>
      <c r="G30" s="166"/>
      <c r="H30" s="166"/>
      <c r="I30" s="166"/>
      <c r="J30" s="166"/>
      <c r="K30" s="166"/>
      <c r="L30" s="169">
        <f>SUM(L14:L29)</f>
        <v>0</v>
      </c>
    </row>
    <row r="31" spans="1:12" ht="13.5" thickBot="1" x14ac:dyDescent="0.25">
      <c r="A31" s="139" t="s">
        <v>40</v>
      </c>
      <c r="B31" s="140" t="s">
        <v>41</v>
      </c>
      <c r="C31" s="141">
        <v>2</v>
      </c>
      <c r="D31" s="142"/>
      <c r="E31" s="142"/>
      <c r="F31" s="143" t="s">
        <v>442</v>
      </c>
      <c r="G31" s="141"/>
      <c r="H31" s="141"/>
      <c r="I31" s="141"/>
      <c r="J31" s="141"/>
      <c r="K31" s="141"/>
      <c r="L31" s="144"/>
    </row>
    <row r="32" spans="1:12" s="107" customFormat="1" ht="13.5" customHeight="1" thickBot="1" x14ac:dyDescent="0.3">
      <c r="A32" s="107" t="s">
        <v>44</v>
      </c>
      <c r="B32" s="145">
        <f>1+MAX($B$13:B31)</f>
        <v>5</v>
      </c>
      <c r="C32" s="146"/>
      <c r="D32" s="147"/>
      <c r="E32" s="148" t="s">
        <v>1098</v>
      </c>
      <c r="F32" s="149" t="s">
        <v>1114</v>
      </c>
      <c r="G32" s="148" t="s">
        <v>48</v>
      </c>
      <c r="H32" s="150">
        <v>1</v>
      </c>
      <c r="I32" s="148"/>
      <c r="J32" s="157" t="str">
        <f>IF(I32=0,"",I32*H32)</f>
        <v/>
      </c>
      <c r="K32" s="151"/>
      <c r="L32" s="158">
        <f>ROUND((ROUND(H32,3))*(ROUND(K32,2)),2)</f>
        <v>0</v>
      </c>
    </row>
    <row r="33" spans="1:12" s="107" customFormat="1" ht="12.75" customHeight="1" x14ac:dyDescent="0.25">
      <c r="A33" s="107" t="s">
        <v>49</v>
      </c>
      <c r="B33" s="153"/>
      <c r="F33" s="154" t="s">
        <v>1115</v>
      </c>
      <c r="G33" s="120"/>
      <c r="H33" s="120"/>
      <c r="I33" s="120"/>
      <c r="J33" s="120"/>
      <c r="K33" s="120"/>
      <c r="L33" s="155"/>
    </row>
    <row r="34" spans="1:12" s="107" customFormat="1" ht="12.75" customHeight="1" x14ac:dyDescent="0.25">
      <c r="A34" s="107" t="s">
        <v>51</v>
      </c>
      <c r="B34" s="153"/>
      <c r="F34" s="156" t="s">
        <v>1101</v>
      </c>
      <c r="G34" s="120"/>
      <c r="H34" s="120"/>
      <c r="I34" s="120"/>
      <c r="J34" s="120"/>
      <c r="K34" s="120"/>
      <c r="L34" s="155"/>
    </row>
    <row r="35" spans="1:12" s="107" customFormat="1" ht="75" customHeight="1" thickBot="1" x14ac:dyDescent="0.3">
      <c r="A35" s="107" t="s">
        <v>53</v>
      </c>
      <c r="B35" s="159"/>
      <c r="C35" s="160"/>
      <c r="D35" s="160"/>
      <c r="E35" s="160"/>
      <c r="F35" s="161" t="s">
        <v>1116</v>
      </c>
      <c r="G35" s="162"/>
      <c r="H35" s="162"/>
      <c r="I35" s="162"/>
      <c r="J35" s="162"/>
      <c r="K35" s="162"/>
      <c r="L35" s="163"/>
    </row>
    <row r="36" spans="1:12" s="107" customFormat="1" ht="13.5" customHeight="1" thickBot="1" x14ac:dyDescent="0.3">
      <c r="A36" s="107" t="s">
        <v>44</v>
      </c>
      <c r="B36" s="145">
        <f>1+MAX($B$13:B35)</f>
        <v>6</v>
      </c>
      <c r="C36" s="146"/>
      <c r="D36" s="147"/>
      <c r="E36" s="148" t="s">
        <v>1098</v>
      </c>
      <c r="F36" s="149" t="s">
        <v>1117</v>
      </c>
      <c r="G36" s="148" t="s">
        <v>48</v>
      </c>
      <c r="H36" s="150">
        <v>1</v>
      </c>
      <c r="I36" s="148"/>
      <c r="J36" s="157" t="str">
        <f>IF(I36=0,"",I36*H36)</f>
        <v/>
      </c>
      <c r="K36" s="151"/>
      <c r="L36" s="158">
        <f>ROUND((ROUND(H36,3))*(ROUND(K36,2)),2)</f>
        <v>0</v>
      </c>
    </row>
    <row r="37" spans="1:12" s="107" customFormat="1" ht="12.75" customHeight="1" x14ac:dyDescent="0.25">
      <c r="A37" s="107" t="s">
        <v>49</v>
      </c>
      <c r="B37" s="153"/>
      <c r="F37" s="154" t="s">
        <v>1118</v>
      </c>
      <c r="G37" s="120"/>
      <c r="H37" s="120"/>
      <c r="I37" s="120"/>
      <c r="J37" s="120"/>
      <c r="K37" s="120"/>
      <c r="L37" s="155"/>
    </row>
    <row r="38" spans="1:12" s="107" customFormat="1" ht="12.75" customHeight="1" x14ac:dyDescent="0.25">
      <c r="A38" s="107" t="s">
        <v>51</v>
      </c>
      <c r="B38" s="153"/>
      <c r="F38" s="156" t="s">
        <v>1101</v>
      </c>
      <c r="G38" s="120"/>
      <c r="H38" s="120"/>
      <c r="I38" s="120"/>
      <c r="J38" s="120"/>
      <c r="K38" s="120"/>
      <c r="L38" s="155"/>
    </row>
    <row r="39" spans="1:12" s="107" customFormat="1" ht="60" customHeight="1" thickBot="1" x14ac:dyDescent="0.3">
      <c r="A39" s="107" t="s">
        <v>53</v>
      </c>
      <c r="B39" s="159"/>
      <c r="C39" s="160"/>
      <c r="D39" s="160"/>
      <c r="E39" s="160"/>
      <c r="F39" s="161" t="s">
        <v>1119</v>
      </c>
      <c r="G39" s="162"/>
      <c r="H39" s="162"/>
      <c r="I39" s="162"/>
      <c r="J39" s="162"/>
      <c r="K39" s="162"/>
      <c r="L39" s="163"/>
    </row>
    <row r="40" spans="1:12" s="107" customFormat="1" ht="13.5" customHeight="1" thickBot="1" x14ac:dyDescent="0.3">
      <c r="A40" s="182" t="s">
        <v>44</v>
      </c>
      <c r="B40" s="181">
        <f>1+MAX($B$13:B39)</f>
        <v>7</v>
      </c>
      <c r="C40" s="146"/>
      <c r="D40" s="147"/>
      <c r="E40" s="148" t="s">
        <v>1098</v>
      </c>
      <c r="F40" s="149" t="s">
        <v>1120</v>
      </c>
      <c r="G40" s="148"/>
      <c r="H40" s="150"/>
      <c r="I40" s="148"/>
      <c r="J40" s="157" t="str">
        <f>IF(I40=0,"",I40*H40)</f>
        <v/>
      </c>
      <c r="K40" s="151"/>
      <c r="L40" s="152">
        <f>ROUND((ROUND(H40,3))*(ROUND(K40,2)),2)</f>
        <v>0</v>
      </c>
    </row>
    <row r="41" spans="1:12" s="107" customFormat="1" ht="12.75" customHeight="1" x14ac:dyDescent="0.25">
      <c r="A41" s="182" t="s">
        <v>49</v>
      </c>
      <c r="B41" s="153"/>
      <c r="F41" s="154" t="s">
        <v>1121</v>
      </c>
      <c r="G41" s="120"/>
      <c r="H41" s="120"/>
      <c r="I41" s="120"/>
      <c r="J41" s="120"/>
      <c r="K41" s="120"/>
      <c r="L41" s="155"/>
    </row>
    <row r="42" spans="1:12" s="107" customFormat="1" ht="12.75" customHeight="1" x14ac:dyDescent="0.25">
      <c r="A42" s="182" t="s">
        <v>51</v>
      </c>
      <c r="B42" s="153"/>
      <c r="F42" s="156" t="s">
        <v>1122</v>
      </c>
      <c r="G42" s="120"/>
      <c r="H42" s="120"/>
      <c r="I42" s="120"/>
      <c r="J42" s="120"/>
      <c r="K42" s="120"/>
      <c r="L42" s="155"/>
    </row>
    <row r="43" spans="1:12" s="107" customFormat="1" ht="67.5" customHeight="1" thickBot="1" x14ac:dyDescent="0.3">
      <c r="A43" s="182" t="s">
        <v>53</v>
      </c>
      <c r="B43" s="159"/>
      <c r="C43" s="160"/>
      <c r="D43" s="160"/>
      <c r="E43" s="160"/>
      <c r="F43" s="161" t="s">
        <v>1123</v>
      </c>
      <c r="G43" s="162"/>
      <c r="H43" s="162"/>
      <c r="I43" s="162"/>
      <c r="J43" s="162"/>
      <c r="K43" s="162"/>
      <c r="L43" s="163"/>
    </row>
    <row r="44" spans="1:12" s="107" customFormat="1" ht="13.5" customHeight="1" thickBot="1" x14ac:dyDescent="0.3">
      <c r="A44" s="107" t="s">
        <v>44</v>
      </c>
      <c r="B44" s="145">
        <f>1+MAX($B$13:B43)</f>
        <v>8</v>
      </c>
      <c r="C44" s="146"/>
      <c r="D44" s="147"/>
      <c r="E44" s="148" t="s">
        <v>1098</v>
      </c>
      <c r="F44" s="149" t="s">
        <v>1124</v>
      </c>
      <c r="G44" s="148"/>
      <c r="H44" s="150"/>
      <c r="I44" s="148"/>
      <c r="J44" s="157" t="str">
        <f>IF(I44=0,"",I44*H44)</f>
        <v/>
      </c>
      <c r="K44" s="151"/>
      <c r="L44" s="158">
        <f>ROUND((ROUND(H44,3))*(ROUND(K44,2)),2)</f>
        <v>0</v>
      </c>
    </row>
    <row r="45" spans="1:12" s="107" customFormat="1" ht="12.75" customHeight="1" x14ac:dyDescent="0.25">
      <c r="A45" s="107" t="s">
        <v>49</v>
      </c>
      <c r="B45" s="153"/>
      <c r="F45" s="154" t="s">
        <v>1125</v>
      </c>
      <c r="G45" s="120"/>
      <c r="H45" s="120"/>
      <c r="I45" s="120"/>
      <c r="J45" s="120"/>
      <c r="K45" s="120"/>
      <c r="L45" s="155"/>
    </row>
    <row r="46" spans="1:12" s="107" customFormat="1" ht="12.75" customHeight="1" x14ac:dyDescent="0.25">
      <c r="A46" s="107" t="s">
        <v>51</v>
      </c>
      <c r="B46" s="153"/>
      <c r="F46" s="156" t="s">
        <v>1101</v>
      </c>
      <c r="G46" s="120"/>
      <c r="H46" s="120"/>
      <c r="I46" s="120"/>
      <c r="J46" s="120"/>
      <c r="K46" s="120"/>
      <c r="L46" s="155"/>
    </row>
    <row r="47" spans="1:12" s="107" customFormat="1" ht="51.75" customHeight="1" thickBot="1" x14ac:dyDescent="0.3">
      <c r="A47" s="107" t="s">
        <v>53</v>
      </c>
      <c r="B47" s="159"/>
      <c r="C47" s="160"/>
      <c r="D47" s="160"/>
      <c r="E47" s="160"/>
      <c r="F47" s="161" t="s">
        <v>1126</v>
      </c>
      <c r="G47" s="162"/>
      <c r="H47" s="162"/>
      <c r="I47" s="162"/>
      <c r="J47" s="162"/>
      <c r="K47" s="162"/>
      <c r="L47" s="163"/>
    </row>
    <row r="48" spans="1:12" s="107" customFormat="1" ht="13.5" customHeight="1" thickBot="1" x14ac:dyDescent="0.3">
      <c r="A48" s="107" t="s">
        <v>44</v>
      </c>
      <c r="B48" s="145">
        <f>1+MAX($B$13:B47)</f>
        <v>9</v>
      </c>
      <c r="C48" s="146"/>
      <c r="D48" s="147"/>
      <c r="E48" s="148" t="s">
        <v>1098</v>
      </c>
      <c r="F48" s="149" t="s">
        <v>1127</v>
      </c>
      <c r="G48" s="148"/>
      <c r="H48" s="150"/>
      <c r="I48" s="148"/>
      <c r="J48" s="157" t="str">
        <f>IF(I48=0,"",I48*H48)</f>
        <v/>
      </c>
      <c r="K48" s="151"/>
      <c r="L48" s="158">
        <f>ROUND((ROUND(H48,3))*(ROUND(K48,2)),2)</f>
        <v>0</v>
      </c>
    </row>
    <row r="49" spans="1:12" s="107" customFormat="1" ht="12.75" customHeight="1" x14ac:dyDescent="0.25">
      <c r="A49" s="107" t="s">
        <v>49</v>
      </c>
      <c r="B49" s="153"/>
      <c r="F49" s="154" t="s">
        <v>1125</v>
      </c>
      <c r="G49" s="120"/>
      <c r="H49" s="120"/>
      <c r="I49" s="120"/>
      <c r="J49" s="120"/>
      <c r="K49" s="120"/>
      <c r="L49" s="155"/>
    </row>
    <row r="50" spans="1:12" s="107" customFormat="1" ht="12.75" customHeight="1" x14ac:dyDescent="0.25">
      <c r="A50" s="107" t="s">
        <v>51</v>
      </c>
      <c r="B50" s="153"/>
      <c r="F50" s="156" t="s">
        <v>1101</v>
      </c>
      <c r="G50" s="120"/>
      <c r="H50" s="120"/>
      <c r="I50" s="120"/>
      <c r="J50" s="120"/>
      <c r="K50" s="120"/>
      <c r="L50" s="155"/>
    </row>
    <row r="51" spans="1:12" s="107" customFormat="1" ht="51.75" customHeight="1" thickBot="1" x14ac:dyDescent="0.3">
      <c r="A51" s="107" t="s">
        <v>53</v>
      </c>
      <c r="B51" s="159"/>
      <c r="C51" s="160"/>
      <c r="D51" s="160"/>
      <c r="E51" s="160"/>
      <c r="F51" s="161" t="s">
        <v>1128</v>
      </c>
      <c r="G51" s="162"/>
      <c r="H51" s="162"/>
      <c r="I51" s="162"/>
      <c r="J51" s="162"/>
      <c r="K51" s="162"/>
      <c r="L51" s="163"/>
    </row>
    <row r="52" spans="1:12" s="107" customFormat="1" ht="13.5" customHeight="1" thickBot="1" x14ac:dyDescent="0.3">
      <c r="A52" s="107" t="s">
        <v>44</v>
      </c>
      <c r="B52" s="145">
        <f>1+MAX($B$13:B51)</f>
        <v>10</v>
      </c>
      <c r="C52" s="146"/>
      <c r="D52" s="147"/>
      <c r="E52" s="148" t="s">
        <v>1098</v>
      </c>
      <c r="F52" s="149" t="s">
        <v>1129</v>
      </c>
      <c r="G52" s="148"/>
      <c r="H52" s="150"/>
      <c r="I52" s="148"/>
      <c r="J52" s="157" t="str">
        <f>IF(I52=0,"",I52*H52)</f>
        <v/>
      </c>
      <c r="K52" s="151"/>
      <c r="L52" s="158">
        <f>ROUND((ROUND(H52,3))*(ROUND(K52,2)),2)</f>
        <v>0</v>
      </c>
    </row>
    <row r="53" spans="1:12" s="107" customFormat="1" ht="12.75" customHeight="1" x14ac:dyDescent="0.25">
      <c r="A53" s="107" t="s">
        <v>49</v>
      </c>
      <c r="B53" s="153"/>
      <c r="F53" s="154" t="s">
        <v>1125</v>
      </c>
      <c r="G53" s="120"/>
      <c r="H53" s="120"/>
      <c r="I53" s="120"/>
      <c r="J53" s="120"/>
      <c r="K53" s="120"/>
      <c r="L53" s="155"/>
    </row>
    <row r="54" spans="1:12" s="107" customFormat="1" ht="12.75" customHeight="1" x14ac:dyDescent="0.25">
      <c r="A54" s="107" t="s">
        <v>51</v>
      </c>
      <c r="B54" s="153"/>
      <c r="F54" s="156" t="s">
        <v>1101</v>
      </c>
      <c r="G54" s="120"/>
      <c r="H54" s="120"/>
      <c r="I54" s="120"/>
      <c r="J54" s="120"/>
      <c r="K54" s="120"/>
      <c r="L54" s="155"/>
    </row>
    <row r="55" spans="1:12" s="107" customFormat="1" ht="51.75" customHeight="1" thickBot="1" x14ac:dyDescent="0.3">
      <c r="A55" s="107" t="s">
        <v>53</v>
      </c>
      <c r="B55" s="159"/>
      <c r="C55" s="160"/>
      <c r="D55" s="160"/>
      <c r="E55" s="160"/>
      <c r="F55" s="161" t="s">
        <v>1128</v>
      </c>
      <c r="G55" s="162"/>
      <c r="H55" s="162"/>
      <c r="I55" s="162"/>
      <c r="J55" s="162"/>
      <c r="K55" s="162"/>
      <c r="L55" s="163"/>
    </row>
    <row r="56" spans="1:12" s="107" customFormat="1" ht="13.5" customHeight="1" thickBot="1" x14ac:dyDescent="0.3">
      <c r="A56" s="107" t="s">
        <v>44</v>
      </c>
      <c r="B56" s="145">
        <f>1+MAX($B$13:B55)</f>
        <v>11</v>
      </c>
      <c r="C56" s="146"/>
      <c r="D56" s="147"/>
      <c r="E56" s="148" t="s">
        <v>1098</v>
      </c>
      <c r="F56" s="149" t="s">
        <v>1130</v>
      </c>
      <c r="G56" s="148"/>
      <c r="H56" s="150"/>
      <c r="I56" s="148"/>
      <c r="J56" s="157" t="str">
        <f>IF(I56=0,"",I56*H56)</f>
        <v/>
      </c>
      <c r="K56" s="151"/>
      <c r="L56" s="158">
        <f>ROUND((ROUND(H56,3))*(ROUND(K56,2)),2)</f>
        <v>0</v>
      </c>
    </row>
    <row r="57" spans="1:12" s="107" customFormat="1" ht="12.75" customHeight="1" x14ac:dyDescent="0.25">
      <c r="A57" s="107" t="s">
        <v>49</v>
      </c>
      <c r="B57" s="153"/>
      <c r="F57" s="154" t="s">
        <v>1125</v>
      </c>
      <c r="G57" s="120"/>
      <c r="H57" s="120"/>
      <c r="I57" s="120"/>
      <c r="J57" s="120"/>
      <c r="K57" s="120"/>
      <c r="L57" s="155"/>
    </row>
    <row r="58" spans="1:12" s="107" customFormat="1" ht="12.75" customHeight="1" x14ac:dyDescent="0.25">
      <c r="A58" s="107" t="s">
        <v>51</v>
      </c>
      <c r="B58" s="153"/>
      <c r="F58" s="156" t="s">
        <v>1101</v>
      </c>
      <c r="G58" s="120"/>
      <c r="H58" s="120"/>
      <c r="I58" s="120"/>
      <c r="J58" s="120"/>
      <c r="K58" s="120"/>
      <c r="L58" s="155"/>
    </row>
    <row r="59" spans="1:12" s="107" customFormat="1" ht="51.75" customHeight="1" thickBot="1" x14ac:dyDescent="0.3">
      <c r="A59" s="107" t="s">
        <v>53</v>
      </c>
      <c r="B59" s="159"/>
      <c r="C59" s="160"/>
      <c r="D59" s="160"/>
      <c r="E59" s="160"/>
      <c r="F59" s="161" t="s">
        <v>1128</v>
      </c>
      <c r="G59" s="162"/>
      <c r="H59" s="162"/>
      <c r="I59" s="162"/>
      <c r="J59" s="162"/>
      <c r="K59" s="162"/>
      <c r="L59" s="163"/>
    </row>
    <row r="60" spans="1:12" s="107" customFormat="1" ht="13.5" customHeight="1" thickBot="1" x14ac:dyDescent="0.3">
      <c r="A60" s="107" t="s">
        <v>44</v>
      </c>
      <c r="B60" s="145">
        <f>1+MAX($B$13:B59)</f>
        <v>12</v>
      </c>
      <c r="C60" s="146"/>
      <c r="D60" s="147"/>
      <c r="E60" s="148" t="s">
        <v>1098</v>
      </c>
      <c r="F60" s="149" t="s">
        <v>1131</v>
      </c>
      <c r="G60" s="148"/>
      <c r="H60" s="150"/>
      <c r="I60" s="148"/>
      <c r="J60" s="157" t="str">
        <f>IF(I60=0,"",I60*H60)</f>
        <v/>
      </c>
      <c r="K60" s="151"/>
      <c r="L60" s="158">
        <f>ROUND((ROUND(H60,3))*(ROUND(K60,2)),2)</f>
        <v>0</v>
      </c>
    </row>
    <row r="61" spans="1:12" s="107" customFormat="1" ht="12.75" customHeight="1" x14ac:dyDescent="0.25">
      <c r="A61" s="107" t="s">
        <v>49</v>
      </c>
      <c r="B61" s="153"/>
      <c r="F61" s="154" t="s">
        <v>1125</v>
      </c>
      <c r="G61" s="120"/>
      <c r="H61" s="120"/>
      <c r="I61" s="120"/>
      <c r="J61" s="120"/>
      <c r="K61" s="120"/>
      <c r="L61" s="155"/>
    </row>
    <row r="62" spans="1:12" s="107" customFormat="1" ht="12.75" customHeight="1" x14ac:dyDescent="0.25">
      <c r="A62" s="107" t="s">
        <v>51</v>
      </c>
      <c r="B62" s="153"/>
      <c r="F62" s="156" t="s">
        <v>1101</v>
      </c>
      <c r="G62" s="120"/>
      <c r="H62" s="120"/>
      <c r="I62" s="120"/>
      <c r="J62" s="120"/>
      <c r="K62" s="120"/>
      <c r="L62" s="155"/>
    </row>
    <row r="63" spans="1:12" s="107" customFormat="1" ht="51.75" customHeight="1" thickBot="1" x14ac:dyDescent="0.3">
      <c r="A63" s="107" t="s">
        <v>53</v>
      </c>
      <c r="B63" s="159"/>
      <c r="C63" s="160"/>
      <c r="D63" s="160"/>
      <c r="E63" s="160"/>
      <c r="F63" s="161" t="s">
        <v>1128</v>
      </c>
      <c r="G63" s="162"/>
      <c r="H63" s="162"/>
      <c r="I63" s="162"/>
      <c r="J63" s="162"/>
      <c r="K63" s="162"/>
      <c r="L63" s="163"/>
    </row>
    <row r="64" spans="1:12" s="107" customFormat="1" ht="13.5" customHeight="1" thickBot="1" x14ac:dyDescent="0.3">
      <c r="A64" s="107" t="s">
        <v>44</v>
      </c>
      <c r="B64" s="145">
        <f>1+MAX($B$13:B63)</f>
        <v>13</v>
      </c>
      <c r="C64" s="146"/>
      <c r="D64" s="147"/>
      <c r="E64" s="148" t="s">
        <v>1098</v>
      </c>
      <c r="F64" s="149" t="s">
        <v>1132</v>
      </c>
      <c r="G64" s="148"/>
      <c r="H64" s="150"/>
      <c r="I64" s="148"/>
      <c r="J64" s="157" t="str">
        <f>IF(I64=0,"",I64*H64)</f>
        <v/>
      </c>
      <c r="K64" s="151"/>
      <c r="L64" s="158">
        <f>ROUND((ROUND(H64,3))*(ROUND(K64,2)),2)</f>
        <v>0</v>
      </c>
    </row>
    <row r="65" spans="1:12" s="107" customFormat="1" ht="12.75" customHeight="1" x14ac:dyDescent="0.25">
      <c r="A65" s="107" t="s">
        <v>49</v>
      </c>
      <c r="B65" s="153"/>
      <c r="F65" s="154" t="s">
        <v>1125</v>
      </c>
      <c r="G65" s="120"/>
      <c r="H65" s="120"/>
      <c r="I65" s="120"/>
      <c r="J65" s="120"/>
      <c r="K65" s="120"/>
      <c r="L65" s="155"/>
    </row>
    <row r="66" spans="1:12" s="107" customFormat="1" ht="12.75" customHeight="1" x14ac:dyDescent="0.25">
      <c r="A66" s="107" t="s">
        <v>51</v>
      </c>
      <c r="B66" s="153"/>
      <c r="F66" s="156" t="s">
        <v>1101</v>
      </c>
      <c r="G66" s="120"/>
      <c r="H66" s="120"/>
      <c r="I66" s="120"/>
      <c r="J66" s="120"/>
      <c r="K66" s="120"/>
      <c r="L66" s="155"/>
    </row>
    <row r="67" spans="1:12" s="107" customFormat="1" ht="51.75" customHeight="1" thickBot="1" x14ac:dyDescent="0.3">
      <c r="A67" s="107" t="s">
        <v>53</v>
      </c>
      <c r="B67" s="159"/>
      <c r="C67" s="160"/>
      <c r="D67" s="160"/>
      <c r="E67" s="160"/>
      <c r="F67" s="161" t="s">
        <v>1128</v>
      </c>
      <c r="G67" s="162"/>
      <c r="H67" s="162"/>
      <c r="I67" s="162"/>
      <c r="J67" s="162"/>
      <c r="K67" s="162"/>
      <c r="L67" s="163"/>
    </row>
    <row r="68" spans="1:12" s="107" customFormat="1" ht="13.5" customHeight="1" thickBot="1" x14ac:dyDescent="0.3">
      <c r="A68" s="107" t="s">
        <v>44</v>
      </c>
      <c r="B68" s="145">
        <f>1+MAX($B$13:B67)</f>
        <v>14</v>
      </c>
      <c r="C68" s="146"/>
      <c r="D68" s="147"/>
      <c r="E68" s="148" t="s">
        <v>1098</v>
      </c>
      <c r="F68" s="149" t="s">
        <v>1133</v>
      </c>
      <c r="G68" s="148"/>
      <c r="H68" s="150"/>
      <c r="I68" s="148"/>
      <c r="J68" s="157" t="str">
        <f>IF(I68=0,"",I68*H68)</f>
        <v/>
      </c>
      <c r="K68" s="151"/>
      <c r="L68" s="158">
        <f>ROUND((ROUND(H68,3))*(ROUND(K68,2)),2)</f>
        <v>0</v>
      </c>
    </row>
    <row r="69" spans="1:12" s="107" customFormat="1" ht="12.75" customHeight="1" x14ac:dyDescent="0.25">
      <c r="A69" s="107" t="s">
        <v>49</v>
      </c>
      <c r="B69" s="153"/>
      <c r="F69" s="154" t="s">
        <v>1125</v>
      </c>
      <c r="G69" s="120"/>
      <c r="H69" s="120"/>
      <c r="I69" s="120"/>
      <c r="J69" s="120"/>
      <c r="K69" s="120"/>
      <c r="L69" s="155"/>
    </row>
    <row r="70" spans="1:12" s="107" customFormat="1" ht="12.75" customHeight="1" x14ac:dyDescent="0.25">
      <c r="A70" s="107" t="s">
        <v>51</v>
      </c>
      <c r="B70" s="153"/>
      <c r="F70" s="156" t="s">
        <v>1101</v>
      </c>
      <c r="G70" s="120"/>
      <c r="H70" s="120"/>
      <c r="I70" s="120"/>
      <c r="J70" s="120"/>
      <c r="K70" s="120"/>
      <c r="L70" s="155"/>
    </row>
    <row r="71" spans="1:12" s="107" customFormat="1" ht="51.75" customHeight="1" thickBot="1" x14ac:dyDescent="0.3">
      <c r="A71" s="107" t="s">
        <v>53</v>
      </c>
      <c r="B71" s="159"/>
      <c r="C71" s="160"/>
      <c r="D71" s="160"/>
      <c r="E71" s="160"/>
      <c r="F71" s="161" t="s">
        <v>1128</v>
      </c>
      <c r="G71" s="162"/>
      <c r="H71" s="162"/>
      <c r="I71" s="162"/>
      <c r="J71" s="162"/>
      <c r="K71" s="162"/>
      <c r="L71" s="163"/>
    </row>
    <row r="72" spans="1:12" s="107" customFormat="1" ht="13.5" customHeight="1" thickBot="1" x14ac:dyDescent="0.3">
      <c r="A72" s="107" t="s">
        <v>44</v>
      </c>
      <c r="B72" s="145">
        <f>1+MAX($B$13:B71)</f>
        <v>15</v>
      </c>
      <c r="C72" s="146"/>
      <c r="D72" s="147"/>
      <c r="E72" s="148" t="s">
        <v>1098</v>
      </c>
      <c r="F72" s="149" t="s">
        <v>1134</v>
      </c>
      <c r="G72" s="148"/>
      <c r="H72" s="150"/>
      <c r="I72" s="148"/>
      <c r="J72" s="157" t="str">
        <f>IF(I72=0,"",I72*H72)</f>
        <v/>
      </c>
      <c r="K72" s="151"/>
      <c r="L72" s="158">
        <f>ROUND((ROUND(H72,3))*(ROUND(K72,2)),2)</f>
        <v>0</v>
      </c>
    </row>
    <row r="73" spans="1:12" s="107" customFormat="1" ht="12.75" customHeight="1" x14ac:dyDescent="0.25">
      <c r="A73" s="107" t="s">
        <v>49</v>
      </c>
      <c r="B73" s="153"/>
      <c r="F73" s="154" t="s">
        <v>1125</v>
      </c>
      <c r="G73" s="120"/>
      <c r="H73" s="120"/>
      <c r="I73" s="120"/>
      <c r="J73" s="120"/>
      <c r="K73" s="120"/>
      <c r="L73" s="155"/>
    </row>
    <row r="74" spans="1:12" s="107" customFormat="1" ht="12.75" customHeight="1" x14ac:dyDescent="0.25">
      <c r="A74" s="107" t="s">
        <v>51</v>
      </c>
      <c r="B74" s="153"/>
      <c r="F74" s="156" t="s">
        <v>1101</v>
      </c>
      <c r="G74" s="120"/>
      <c r="H74" s="120"/>
      <c r="I74" s="120"/>
      <c r="J74" s="120"/>
      <c r="K74" s="120"/>
      <c r="L74" s="155"/>
    </row>
    <row r="75" spans="1:12" s="107" customFormat="1" ht="51.75" customHeight="1" thickBot="1" x14ac:dyDescent="0.3">
      <c r="A75" s="107" t="s">
        <v>53</v>
      </c>
      <c r="B75" s="159"/>
      <c r="C75" s="160"/>
      <c r="D75" s="160"/>
      <c r="E75" s="160"/>
      <c r="F75" s="161" t="s">
        <v>1128</v>
      </c>
      <c r="G75" s="162"/>
      <c r="H75" s="162"/>
      <c r="I75" s="162"/>
      <c r="J75" s="162"/>
      <c r="K75" s="162"/>
      <c r="L75" s="163"/>
    </row>
    <row r="76" spans="1:12" s="107" customFormat="1" ht="13.5" customHeight="1" thickBot="1" x14ac:dyDescent="0.3">
      <c r="A76" s="107" t="s">
        <v>44</v>
      </c>
      <c r="B76" s="145">
        <f>1+MAX($B$13:B75)</f>
        <v>16</v>
      </c>
      <c r="C76" s="146"/>
      <c r="D76" s="147"/>
      <c r="E76" s="148" t="s">
        <v>1098</v>
      </c>
      <c r="F76" s="149" t="s">
        <v>1135</v>
      </c>
      <c r="G76" s="148"/>
      <c r="H76" s="150"/>
      <c r="I76" s="148"/>
      <c r="J76" s="157" t="str">
        <f>IF(I76=0,"",I76*H76)</f>
        <v/>
      </c>
      <c r="K76" s="151"/>
      <c r="L76" s="158">
        <f>ROUND((ROUND(H76,3))*(ROUND(K76,2)),2)</f>
        <v>0</v>
      </c>
    </row>
    <row r="77" spans="1:12" s="107" customFormat="1" ht="12.75" customHeight="1" x14ac:dyDescent="0.25">
      <c r="A77" s="107" t="s">
        <v>49</v>
      </c>
      <c r="B77" s="153"/>
      <c r="F77" s="154" t="s">
        <v>1125</v>
      </c>
      <c r="G77" s="120"/>
      <c r="H77" s="120"/>
      <c r="I77" s="120"/>
      <c r="J77" s="120"/>
      <c r="K77" s="120"/>
      <c r="L77" s="155"/>
    </row>
    <row r="78" spans="1:12" s="107" customFormat="1" ht="12.75" customHeight="1" x14ac:dyDescent="0.25">
      <c r="A78" s="107" t="s">
        <v>51</v>
      </c>
      <c r="B78" s="153"/>
      <c r="F78" s="156" t="s">
        <v>1101</v>
      </c>
      <c r="G78" s="120"/>
      <c r="H78" s="120"/>
      <c r="I78" s="120"/>
      <c r="J78" s="120"/>
      <c r="K78" s="120"/>
      <c r="L78" s="155"/>
    </row>
    <row r="79" spans="1:12" s="107" customFormat="1" ht="51.75" customHeight="1" thickBot="1" x14ac:dyDescent="0.3">
      <c r="A79" s="107" t="s">
        <v>53</v>
      </c>
      <c r="B79" s="159"/>
      <c r="C79" s="160"/>
      <c r="D79" s="160"/>
      <c r="E79" s="160"/>
      <c r="F79" s="161" t="s">
        <v>1128</v>
      </c>
      <c r="G79" s="162"/>
      <c r="H79" s="162"/>
      <c r="I79" s="162"/>
      <c r="J79" s="162"/>
      <c r="K79" s="162"/>
      <c r="L79" s="163"/>
    </row>
    <row r="80" spans="1:12" s="107" customFormat="1" ht="13.5" customHeight="1" thickBot="1" x14ac:dyDescent="0.3">
      <c r="A80" s="107" t="s">
        <v>44</v>
      </c>
      <c r="B80" s="145">
        <f>1+MAX($B$13:B79)</f>
        <v>17</v>
      </c>
      <c r="C80" s="146"/>
      <c r="D80" s="147"/>
      <c r="E80" s="148" t="s">
        <v>1098</v>
      </c>
      <c r="F80" s="149" t="s">
        <v>1136</v>
      </c>
      <c r="G80" s="148"/>
      <c r="H80" s="150"/>
      <c r="I80" s="148"/>
      <c r="J80" s="157" t="str">
        <f>IF(I80=0,"",I80*H80)</f>
        <v/>
      </c>
      <c r="K80" s="151"/>
      <c r="L80" s="158">
        <f>ROUND((ROUND(H80,3))*(ROUND(K80,2)),2)</f>
        <v>0</v>
      </c>
    </row>
    <row r="81" spans="1:12" s="107" customFormat="1" ht="12.75" customHeight="1" x14ac:dyDescent="0.25">
      <c r="A81" s="107" t="s">
        <v>49</v>
      </c>
      <c r="B81" s="153"/>
      <c r="F81" s="154" t="s">
        <v>1125</v>
      </c>
      <c r="G81" s="120"/>
      <c r="H81" s="120"/>
      <c r="I81" s="120"/>
      <c r="J81" s="120"/>
      <c r="K81" s="120"/>
      <c r="L81" s="155"/>
    </row>
    <row r="82" spans="1:12" s="107" customFormat="1" ht="12.75" customHeight="1" x14ac:dyDescent="0.25">
      <c r="A82" s="107" t="s">
        <v>51</v>
      </c>
      <c r="B82" s="153"/>
      <c r="F82" s="156" t="s">
        <v>1101</v>
      </c>
      <c r="G82" s="120"/>
      <c r="H82" s="120"/>
      <c r="I82" s="120"/>
      <c r="J82" s="120"/>
      <c r="K82" s="120"/>
      <c r="L82" s="155"/>
    </row>
    <row r="83" spans="1:12" s="107" customFormat="1" ht="51.75" customHeight="1" thickBot="1" x14ac:dyDescent="0.3">
      <c r="A83" s="107" t="s">
        <v>53</v>
      </c>
      <c r="B83" s="159"/>
      <c r="C83" s="160"/>
      <c r="D83" s="160"/>
      <c r="E83" s="160"/>
      <c r="F83" s="161" t="s">
        <v>1128</v>
      </c>
      <c r="G83" s="162"/>
      <c r="H83" s="162"/>
      <c r="I83" s="162"/>
      <c r="J83" s="162"/>
      <c r="K83" s="162"/>
      <c r="L83" s="163"/>
    </row>
    <row r="84" spans="1:12" s="107" customFormat="1" ht="13.5" customHeight="1" thickBot="1" x14ac:dyDescent="0.3">
      <c r="B84" s="145">
        <f>1+MAX($B$13:B83)</f>
        <v>18</v>
      </c>
      <c r="C84" s="146"/>
      <c r="D84" s="147"/>
      <c r="E84" s="148" t="s">
        <v>1098</v>
      </c>
      <c r="F84" s="149" t="s">
        <v>1137</v>
      </c>
      <c r="G84" s="148" t="s">
        <v>48</v>
      </c>
      <c r="H84" s="150">
        <v>1</v>
      </c>
      <c r="I84" s="148">
        <v>0</v>
      </c>
      <c r="J84" s="157" t="str">
        <f>IF(I84=0,"",I84*H84)</f>
        <v/>
      </c>
      <c r="K84" s="151"/>
      <c r="L84" s="158">
        <f>ROUND((ROUND(H84,3))*(ROUND(K84,2)),2)</f>
        <v>0</v>
      </c>
    </row>
    <row r="85" spans="1:12" s="107" customFormat="1" ht="13.5" customHeight="1" x14ac:dyDescent="0.25">
      <c r="B85" s="153"/>
      <c r="F85" s="154" t="s">
        <v>1138</v>
      </c>
      <c r="G85" s="120"/>
      <c r="H85" s="120"/>
      <c r="I85" s="120"/>
      <c r="J85" s="120"/>
      <c r="K85" s="120"/>
      <c r="L85" s="155"/>
    </row>
    <row r="86" spans="1:12" s="107" customFormat="1" ht="13.5" customHeight="1" x14ac:dyDescent="0.25">
      <c r="B86" s="153"/>
      <c r="F86" s="156" t="s">
        <v>1139</v>
      </c>
      <c r="G86" s="120"/>
      <c r="H86" s="120"/>
      <c r="I86" s="120"/>
      <c r="J86" s="120"/>
      <c r="K86" s="120"/>
      <c r="L86" s="155"/>
    </row>
    <row r="87" spans="1:12" s="107" customFormat="1" ht="51.75" customHeight="1" thickBot="1" x14ac:dyDescent="0.3">
      <c r="B87" s="159"/>
      <c r="C87" s="160"/>
      <c r="D87" s="160"/>
      <c r="E87" s="160"/>
      <c r="F87" s="161" t="s">
        <v>1128</v>
      </c>
      <c r="G87" s="162"/>
      <c r="H87" s="162"/>
      <c r="I87" s="162"/>
      <c r="J87" s="162"/>
      <c r="K87" s="162"/>
      <c r="L87" s="163"/>
    </row>
    <row r="88" spans="1:12" ht="13.5" thickBot="1" x14ac:dyDescent="0.25">
      <c r="A88" s="164" t="s">
        <v>1089</v>
      </c>
      <c r="B88" s="165" t="s">
        <v>58</v>
      </c>
      <c r="C88" s="166" t="s">
        <v>1090</v>
      </c>
      <c r="D88" s="167"/>
      <c r="E88" s="167"/>
      <c r="F88" s="168" t="s">
        <v>442</v>
      </c>
      <c r="G88" s="166"/>
      <c r="H88" s="166"/>
      <c r="I88" s="166"/>
      <c r="J88" s="166"/>
      <c r="K88" s="166"/>
      <c r="L88" s="169">
        <f>SUM(L32:L87)</f>
        <v>0</v>
      </c>
    </row>
  </sheetData>
  <sheetProtection password="A3B1" sheet="1" objects="1" scenarios="1" formatCells="0" formatColumns="0" formatRows="0" insertColumns="0" insertRows="0" deleteColumns="0" deleteRows="0" sort="0" autoFilter="0"/>
  <autoFilter ref="A12:L12" xr:uid="{00000000-0009-0000-0000-000000000000}"/>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C13:C14">
    <cfRule type="expression" dxfId="172" priority="94">
      <formula>C13=""</formula>
    </cfRule>
  </conditionalFormatting>
  <conditionalFormatting sqref="C30:C32">
    <cfRule type="expression" dxfId="171" priority="30">
      <formula>C30=""</formula>
    </cfRule>
  </conditionalFormatting>
  <conditionalFormatting sqref="C88">
    <cfRule type="expression" dxfId="170" priority="16">
      <formula>C88=""</formula>
    </cfRule>
  </conditionalFormatting>
  <conditionalFormatting sqref="C18:E18">
    <cfRule type="expression" dxfId="169" priority="71">
      <formula>C18=""</formula>
    </cfRule>
  </conditionalFormatting>
  <conditionalFormatting sqref="C22:E22">
    <cfRule type="expression" dxfId="168" priority="59">
      <formula>C22=""</formula>
    </cfRule>
  </conditionalFormatting>
  <conditionalFormatting sqref="C26:E26">
    <cfRule type="expression" dxfId="167" priority="47">
      <formula>C26=""</formula>
    </cfRule>
  </conditionalFormatting>
  <conditionalFormatting sqref="C36:E36">
    <cfRule type="expression" dxfId="166" priority="29">
      <formula>C36=""</formula>
    </cfRule>
  </conditionalFormatting>
  <conditionalFormatting sqref="C40:E40">
    <cfRule type="expression" dxfId="165" priority="17">
      <formula>C40=""</formula>
    </cfRule>
  </conditionalFormatting>
  <conditionalFormatting sqref="D3">
    <cfRule type="expression" dxfId="164" priority="111">
      <formula>IF($D$3="SO XX-XX-XX","Vybarvit",IF($D$3="","Vybarvit",""))="Vybarvit"</formula>
    </cfRule>
  </conditionalFormatting>
  <conditionalFormatting sqref="D14:E14">
    <cfRule type="expression" dxfId="163" priority="83">
      <formula>D14=""</formula>
    </cfRule>
  </conditionalFormatting>
  <conditionalFormatting sqref="D32:E32 C44:E44 C48:E48 C52:E52 C56:E56 C60:E60 C64:E64 C68:E68 C72:E72 C76:E76 C80:E80">
    <cfRule type="expression" dxfId="162" priority="31">
      <formula>C32=""</formula>
    </cfRule>
  </conditionalFormatting>
  <conditionalFormatting sqref="E4">
    <cfRule type="expression" dxfId="161" priority="97">
      <formula>$E$4=""</formula>
    </cfRule>
  </conditionalFormatting>
  <conditionalFormatting sqref="E5">
    <cfRule type="expression" dxfId="160" priority="98">
      <formula>$E$5=""</formula>
    </cfRule>
  </conditionalFormatting>
  <conditionalFormatting sqref="E6">
    <cfRule type="expression" dxfId="159" priority="99">
      <formula>$E$6=""</formula>
    </cfRule>
  </conditionalFormatting>
  <conditionalFormatting sqref="E7">
    <cfRule type="expression" dxfId="158" priority="100">
      <formula>$E$7=""</formula>
    </cfRule>
  </conditionalFormatting>
  <conditionalFormatting sqref="E8">
    <cfRule type="expression" dxfId="157" priority="101">
      <formula>$E$8=""</formula>
    </cfRule>
  </conditionalFormatting>
  <conditionalFormatting sqref="F2">
    <cfRule type="expression" dxfId="156" priority="112">
      <formula>IF($F$2="Název stavby","Vybarvit",IF($F$2="","Vybarvit",""))="Vybarvit"</formula>
    </cfRule>
  </conditionalFormatting>
  <conditionalFormatting sqref="F3">
    <cfRule type="expression" dxfId="155" priority="110">
      <formula>IF($F$3="Název SO/PS","Vybarvit",IF($F$3="","Vybarvit",""))="Vybarvit"</formula>
    </cfRule>
  </conditionalFormatting>
  <conditionalFormatting sqref="F6">
    <cfRule type="expression" dxfId="154" priority="113">
      <formula>$E$5="Ostatní"</formula>
    </cfRule>
    <cfRule type="expression" dxfId="153" priority="114">
      <formula>$E$6="Ostatní"</formula>
    </cfRule>
  </conditionalFormatting>
  <conditionalFormatting sqref="F8">
    <cfRule type="expression" dxfId="152" priority="109">
      <formula>IF($F$8="Obchodní název firmy/společnosti, v případě fyzické osoby podnikající  IČO","Vybarvit",IF($F$8="","Vybarvit",""))="Vybarvit"</formula>
    </cfRule>
  </conditionalFormatting>
  <conditionalFormatting sqref="F13">
    <cfRule type="expression" dxfId="151" priority="95">
      <formula>F13="Název dílu"</formula>
    </cfRule>
  </conditionalFormatting>
  <conditionalFormatting sqref="F14:F29">
    <cfRule type="expression" dxfId="150" priority="53">
      <formula>F14=""</formula>
    </cfRule>
  </conditionalFormatting>
  <conditionalFormatting sqref="F30:F31">
    <cfRule type="expression" dxfId="149" priority="43">
      <formula>F30="Název dílu"</formula>
    </cfRule>
  </conditionalFormatting>
  <conditionalFormatting sqref="F32:F87">
    <cfRule type="expression" dxfId="148" priority="23">
      <formula>F32=""</formula>
    </cfRule>
  </conditionalFormatting>
  <conditionalFormatting sqref="F88">
    <cfRule type="expression" dxfId="147" priority="15">
      <formula>F88="Název dílu"</formula>
    </cfRule>
  </conditionalFormatting>
  <conditionalFormatting sqref="G8:H8">
    <cfRule type="expression" dxfId="146" priority="108">
      <formula>IF($G$8="Titul Jméno Příjmení","Vybarvit",IF($G$8="","Vybarvit",""))="Vybarvit"</formula>
    </cfRule>
  </conditionalFormatting>
  <conditionalFormatting sqref="G14:K14">
    <cfRule type="expression" dxfId="145" priority="84">
      <formula>G14=""</formula>
    </cfRule>
  </conditionalFormatting>
  <conditionalFormatting sqref="G18:K18">
    <cfRule type="expression" dxfId="144" priority="72">
      <formula>G18=""</formula>
    </cfRule>
  </conditionalFormatting>
  <conditionalFormatting sqref="G22:K22">
    <cfRule type="expression" dxfId="143" priority="60">
      <formula>G22=""</formula>
    </cfRule>
  </conditionalFormatting>
  <conditionalFormatting sqref="G26:K26">
    <cfRule type="expression" dxfId="142" priority="48">
      <formula>G26=""</formula>
    </cfRule>
  </conditionalFormatting>
  <conditionalFormatting sqref="G32:K32 G36:K36 G44:K44 G48:K48 G52:K52 G56:K56 G60:K60 G64:K64 G68:K68 G72:K72 G76:K76 G80:K80">
    <cfRule type="expression" dxfId="141" priority="33">
      <formula>G32=""</formula>
    </cfRule>
  </conditionalFormatting>
  <conditionalFormatting sqref="G40:K40">
    <cfRule type="expression" dxfId="140" priority="18">
      <formula>G40=""</formula>
    </cfRule>
  </conditionalFormatting>
  <conditionalFormatting sqref="K4">
    <cfRule type="expression" dxfId="139" priority="103">
      <formula>$K$4=""</formula>
    </cfRule>
  </conditionalFormatting>
  <conditionalFormatting sqref="K5">
    <cfRule type="expression" dxfId="138" priority="104">
      <formula>$K$5=""</formula>
    </cfRule>
  </conditionalFormatting>
  <conditionalFormatting sqref="K6">
    <cfRule type="expression" dxfId="137" priority="105">
      <formula>$K$6=""</formula>
    </cfRule>
  </conditionalFormatting>
  <conditionalFormatting sqref="K7">
    <cfRule type="expression" dxfId="136" priority="106">
      <formula>$K$7=""</formula>
    </cfRule>
  </conditionalFormatting>
  <conditionalFormatting sqref="K8">
    <cfRule type="expression" dxfId="135" priority="107">
      <formula>$K$8=""</formula>
    </cfRule>
  </conditionalFormatting>
  <conditionalFormatting sqref="L4">
    <cfRule type="expression" dxfId="134" priority="102">
      <formula>$L$4=""</formula>
    </cfRule>
  </conditionalFormatting>
  <conditionalFormatting sqref="C84:E84">
    <cfRule type="expression" dxfId="1" priority="1">
      <formula>C84=""</formula>
    </cfRule>
  </conditionalFormatting>
  <conditionalFormatting sqref="G84:K84">
    <cfRule type="expression" dxfId="0" priority="2">
      <formula>G84=""</formula>
    </cfRule>
  </conditionalFormatting>
  <dataValidations count="15">
    <dataValidation allowBlank="1" showInputMessage="1" showErrorMessage="1" promptTitle="Název položky" prompt="Přesný název položky dle cenové soustavy, nebo vlastní název v případě položky mimo cenovou soustavu." sqref="F40" xr:uid="{928A17EA-0C29-43D8-AE67-EC51C954809A}"/>
    <dataValidation allowBlank="1" showInputMessage="1" showErrorMessage="1" promptTitle="Popis položky" prompt="doplnňující název položky pro upřesnění popisu a charakteristiky dané položky. V případě, že název položky odpovídá popisu položky, pole zůstane bez vyplnění." sqref="F41" xr:uid="{C14CC1D7-FE83-4A08-83B9-7A8898883378}"/>
    <dataValidation allowBlank="1" showInputMessage="1" showErrorMessage="1" promptTitle="Výkaz výměr:" prompt="způsob stanovení množství položky, nebo odkaz na příslušnou přílohu dokumentace." sqref="F42" xr:uid="{7CC6386F-648D-460C-8B53-8A52E126D73E}"/>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3" xr:uid="{1AE87C3B-FE88-4813-B32E-EDEC472A1E6F}"/>
    <dataValidation type="list" allowBlank="1" showInputMessage="1" showErrorMessage="1" sqref="D40" xr:uid="{BBAB0F0A-6714-4ADE-8128-8260FB529BA3}">
      <formula1>"1,2,3,4,5,6,7,8,9,10"</formula1>
    </dataValidation>
    <dataValidation type="date" allowBlank="1" showInputMessage="1" showErrorMessage="1" error="Rozmezí let 2017 - 2050" promptTitle="Vložit rok" prompt="ve formátu:_x000a_rrrr" sqref="K7" xr:uid="{C7AD0B1F-0F64-45BF-8EA8-5496176C3D3E}">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73EA5F4-F895-4F7E-9F7F-0D4E108A0908}"/>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5CA95410-4645-4E6E-8B16-CD5F5287BFCF}">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A09390EB-38C3-4FDE-B29C-86A06EA740F2}">
      <formula1>42370</formula1>
      <formula2>55153</formula2>
    </dataValidation>
    <dataValidation allowBlank="1" showInputMessage="1" showErrorMessage="1" promptTitle="S-kód" prompt="Číslo pod kterým je stavba evidovaná v systému SŽDC." sqref="K6" xr:uid="{AA4E579E-5297-4C82-B028-792D440C1256}"/>
    <dataValidation type="date" allowBlank="1" showInputMessage="1" showErrorMessage="1" errorTitle="Špatný datum" error="Datum musí být v rozmezí_x000a_od 1.1.2016_x000a_do 31.12.2050" promptTitle="Vložit datum" prompt="ve formátu: dd.mm.rrrr" sqref="K8" xr:uid="{C3AD0161-A07B-4D43-984D-79C0FADDB4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647DDB1F-B6D7-4BA4-AB32-E768558291C8}">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D36D62A5-A31B-4D15-A55E-1F5F3DE92204}">
      <formula1>"Stádium 2,Stádium 3"</formula1>
    </dataValidation>
    <dataValidation type="date" allowBlank="1" showInputMessage="1" showErrorMessage="1" sqref="L8" xr:uid="{1C3FCE73-D618-41E9-B2DF-D5EA7DE5C8E4}">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FD2BE66-E2B6-43F6-B210-10DE6799AFC3}">
      <formula1>"SŽDC s.o., Ostatní"</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&amp;L&amp;"Arial,Obyčejné"&amp;10SO 98-98&amp;R&amp;"Arial,Obyčejné"&amp;10&amp;P/&amp;N</oddFooter>
  </headerFooter>
  <rowBreaks count="1" manualBreakCount="1">
    <brk id="30"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7A69D-B2F9-487B-A1A8-39B4A5207C3A}">
  <sheetPr codeName="List2">
    <pageSetUpPr fitToPage="1"/>
  </sheetPr>
  <dimension ref="A1:O266"/>
  <sheetViews>
    <sheetView showGridLines="0" topLeftCell="B1" zoomScale="85" zoomScaleNormal="85" zoomScaleSheetLayoutView="85" workbookViewId="0">
      <pane ySplit="12" topLeftCell="A13" activePane="bottomLeft" state="frozen"/>
      <selection activeCell="B1" sqref="B1"/>
      <selection pane="bottomLeft" activeCell="K14" sqref="K14:K266"/>
    </sheetView>
  </sheetViews>
  <sheetFormatPr defaultColWidth="9.140625" defaultRowHeight="11.25" x14ac:dyDescent="0.2"/>
  <cols>
    <col min="1" max="1" width="3.140625" style="58" hidden="1" customWidth="1"/>
    <col min="2" max="2" width="8.5703125" style="58" customWidth="1"/>
    <col min="3" max="3" width="10.5703125" style="58" customWidth="1"/>
    <col min="4" max="4" width="10" style="58" customWidth="1"/>
    <col min="5" max="5" width="11.42578125" style="58" customWidth="1"/>
    <col min="6" max="6" width="74.140625" style="58" customWidth="1"/>
    <col min="7" max="7" width="9" style="60" customWidth="1"/>
    <col min="8" max="8" width="13" style="60" customWidth="1"/>
    <col min="9" max="9" width="10.85546875" style="60" customWidth="1"/>
    <col min="10" max="10" width="10.140625" style="60" customWidth="1"/>
    <col min="11" max="11" width="12.85546875" style="60" customWidth="1"/>
    <col min="12" max="12" width="19" style="60" customWidth="1"/>
    <col min="13" max="14" width="9.140625" style="58"/>
    <col min="15" max="15" width="9.140625" style="58" customWidth="1"/>
    <col min="16" max="16384" width="9.140625" style="58"/>
  </cols>
  <sheetData>
    <row r="1" spans="1:15" s="1" customFormat="1" ht="30.75" customHeight="1" thickTop="1" thickBot="1" x14ac:dyDescent="0.3">
      <c r="B1" s="218" t="s">
        <v>0</v>
      </c>
      <c r="C1" s="219"/>
      <c r="D1" s="219"/>
      <c r="E1" s="219"/>
      <c r="F1" s="219"/>
      <c r="G1" s="219"/>
      <c r="H1" s="219"/>
      <c r="I1" s="2"/>
      <c r="J1" s="3"/>
      <c r="K1" s="3"/>
      <c r="L1" s="4" t="s">
        <v>264</v>
      </c>
    </row>
    <row r="2" spans="1:15" s="1" customFormat="1" ht="57" customHeight="1" thickTop="1" thickBot="1" x14ac:dyDescent="0.3">
      <c r="B2" s="220" t="s">
        <v>2</v>
      </c>
      <c r="C2" s="221"/>
      <c r="D2" s="5" t="s">
        <v>3</v>
      </c>
      <c r="E2" s="6"/>
      <c r="F2" s="7" t="s">
        <v>4</v>
      </c>
      <c r="G2" s="8"/>
      <c r="H2" s="9"/>
      <c r="I2" s="222" t="s">
        <v>5</v>
      </c>
      <c r="J2" s="223"/>
      <c r="K2" s="205">
        <f>SUMIFS(L:L,B:B,"SOUČET")</f>
        <v>0</v>
      </c>
      <c r="L2" s="206"/>
    </row>
    <row r="3" spans="1:15" s="1" customFormat="1" ht="42.75" customHeight="1" thickTop="1" thickBot="1" x14ac:dyDescent="0.3">
      <c r="B3" s="10" t="s">
        <v>6</v>
      </c>
      <c r="C3" s="11"/>
      <c r="D3" s="12" t="s">
        <v>264</v>
      </c>
      <c r="E3" s="13"/>
      <c r="F3" s="14" t="s">
        <v>265</v>
      </c>
      <c r="G3" s="15"/>
      <c r="H3" s="16"/>
      <c r="I3" s="17"/>
      <c r="J3" s="18"/>
      <c r="K3" s="207"/>
      <c r="L3" s="208"/>
    </row>
    <row r="4" spans="1:15" s="1" customFormat="1" ht="18" customHeight="1" thickTop="1" x14ac:dyDescent="0.25">
      <c r="B4" s="215" t="s">
        <v>8</v>
      </c>
      <c r="C4" s="204"/>
      <c r="D4" s="212"/>
      <c r="E4" s="19" t="s">
        <v>9</v>
      </c>
      <c r="F4" s="20" t="str">
        <f>INDEX('[2]Kategorie monitoringu'!A1:B34,MATCH(E4,'[2]Kategorie monitoringu'!A1:A34,0),2)</f>
        <v>Zabezpečovací zařízení</v>
      </c>
      <c r="G4" s="21"/>
      <c r="H4" s="22"/>
      <c r="I4" s="216" t="s">
        <v>10</v>
      </c>
      <c r="J4" s="217"/>
      <c r="K4" s="23"/>
      <c r="L4" s="24"/>
    </row>
    <row r="5" spans="1:15" s="1" customFormat="1" ht="18" customHeight="1" x14ac:dyDescent="0.25">
      <c r="B5" s="25" t="s">
        <v>11</v>
      </c>
      <c r="C5" s="26"/>
      <c r="D5" s="26"/>
      <c r="E5" s="19" t="s">
        <v>12</v>
      </c>
      <c r="F5" s="209" t="str">
        <f>IF((E5="Stádium 2"),"  Dokumentace pro územní řízení - DUR",(IF((E5="Stádium 3"),"  Projektová dokumentace (DOS/DSP)","")))</f>
        <v xml:space="preserve">  Projektová dokumentace (DOS/DSP)</v>
      </c>
      <c r="G5" s="209"/>
      <c r="H5" s="210"/>
      <c r="I5" s="211" t="s">
        <v>13</v>
      </c>
      <c r="J5" s="212"/>
      <c r="K5" s="27" t="s">
        <v>14</v>
      </c>
      <c r="L5" s="28"/>
    </row>
    <row r="6" spans="1:15" s="1" customFormat="1" ht="18" customHeight="1" x14ac:dyDescent="0.2">
      <c r="B6" s="25" t="s">
        <v>15</v>
      </c>
      <c r="C6" s="26"/>
      <c r="D6" s="26"/>
      <c r="E6" s="27" t="s">
        <v>16</v>
      </c>
      <c r="F6" s="213" t="s">
        <v>17</v>
      </c>
      <c r="G6" s="213"/>
      <c r="H6" s="214"/>
      <c r="I6" s="211" t="s">
        <v>18</v>
      </c>
      <c r="J6" s="212"/>
      <c r="K6" s="27" t="s">
        <v>19</v>
      </c>
      <c r="L6" s="28"/>
      <c r="O6" s="29"/>
    </row>
    <row r="7" spans="1:15" s="1" customFormat="1" ht="18" customHeight="1" x14ac:dyDescent="0.2">
      <c r="B7" s="199" t="s">
        <v>20</v>
      </c>
      <c r="C7" s="190"/>
      <c r="D7" s="190"/>
      <c r="E7" s="30">
        <v>45108</v>
      </c>
      <c r="F7" s="200" t="s">
        <v>21</v>
      </c>
      <c r="G7" s="201"/>
      <c r="H7" s="202"/>
      <c r="I7" s="203" t="s">
        <v>22</v>
      </c>
      <c r="J7" s="204"/>
      <c r="K7" s="31">
        <v>2022</v>
      </c>
      <c r="L7" s="28"/>
      <c r="O7" s="32"/>
    </row>
    <row r="8" spans="1:15" s="1" customFormat="1" ht="19.5" customHeight="1" thickBot="1" x14ac:dyDescent="0.3">
      <c r="B8" s="185" t="s">
        <v>23</v>
      </c>
      <c r="C8" s="186"/>
      <c r="D8" s="186"/>
      <c r="E8" s="33">
        <v>45243</v>
      </c>
      <c r="F8" s="34" t="s">
        <v>266</v>
      </c>
      <c r="G8" s="187" t="s">
        <v>267</v>
      </c>
      <c r="H8" s="188"/>
      <c r="I8" s="189" t="s">
        <v>26</v>
      </c>
      <c r="J8" s="190"/>
      <c r="K8" s="35" t="s">
        <v>27</v>
      </c>
      <c r="L8" s="36"/>
    </row>
    <row r="9" spans="1:15" s="1" customFormat="1" ht="9.75" customHeight="1" x14ac:dyDescent="0.25">
      <c r="B9" s="191" t="s">
        <v>4</v>
      </c>
      <c r="C9" s="192"/>
      <c r="D9" s="192"/>
      <c r="E9" s="192"/>
      <c r="F9" s="192"/>
      <c r="G9" s="192"/>
      <c r="H9" s="192"/>
      <c r="I9" s="192"/>
      <c r="J9" s="192"/>
      <c r="K9" s="37" t="str">
        <f>$I$5</f>
        <v>ISPROFIN:</v>
      </c>
      <c r="L9" s="38" t="s">
        <v>17</v>
      </c>
    </row>
    <row r="10" spans="1:15" s="1" customFormat="1" ht="15" customHeight="1" x14ac:dyDescent="0.25">
      <c r="B10" s="193" t="s">
        <v>28</v>
      </c>
      <c r="C10" s="195" t="s">
        <v>29</v>
      </c>
      <c r="D10" s="195" t="s">
        <v>30</v>
      </c>
      <c r="E10" s="195" t="s">
        <v>31</v>
      </c>
      <c r="F10" s="197" t="s">
        <v>32</v>
      </c>
      <c r="G10" s="197" t="s">
        <v>33</v>
      </c>
      <c r="H10" s="197" t="s">
        <v>34</v>
      </c>
      <c r="I10" s="195" t="s">
        <v>35</v>
      </c>
      <c r="J10" s="195" t="s">
        <v>36</v>
      </c>
      <c r="K10" s="183" t="s">
        <v>37</v>
      </c>
      <c r="L10" s="184"/>
    </row>
    <row r="11" spans="1:15" s="1" customFormat="1" ht="15" customHeight="1" x14ac:dyDescent="0.25">
      <c r="B11" s="193"/>
      <c r="C11" s="195"/>
      <c r="D11" s="195"/>
      <c r="E11" s="195"/>
      <c r="F11" s="197"/>
      <c r="G11" s="197"/>
      <c r="H11" s="197"/>
      <c r="I11" s="195"/>
      <c r="J11" s="195"/>
      <c r="K11" s="183"/>
      <c r="L11" s="184"/>
    </row>
    <row r="12" spans="1:15" s="1" customFormat="1" ht="12.75" customHeight="1" thickBot="1" x14ac:dyDescent="0.3">
      <c r="B12" s="194"/>
      <c r="C12" s="196"/>
      <c r="D12" s="196"/>
      <c r="E12" s="196"/>
      <c r="F12" s="198"/>
      <c r="G12" s="198"/>
      <c r="H12" s="198"/>
      <c r="I12" s="196"/>
      <c r="J12" s="196"/>
      <c r="K12" s="39" t="s">
        <v>38</v>
      </c>
      <c r="L12" s="40" t="s">
        <v>39</v>
      </c>
    </row>
    <row r="13" spans="1:15" s="41" customFormat="1" ht="20.100000000000001" customHeight="1" thickBot="1" x14ac:dyDescent="0.3">
      <c r="A13" s="41" t="s">
        <v>40</v>
      </c>
      <c r="B13" s="42" t="s">
        <v>41</v>
      </c>
      <c r="C13" s="43" t="s">
        <v>42</v>
      </c>
      <c r="D13" s="44"/>
      <c r="E13" s="44"/>
      <c r="F13" s="45" t="s">
        <v>43</v>
      </c>
      <c r="G13" s="44"/>
      <c r="H13" s="44"/>
      <c r="I13" s="44"/>
      <c r="J13" s="44"/>
      <c r="K13" s="44"/>
      <c r="L13" s="46"/>
    </row>
    <row r="14" spans="1:15" s="41" customFormat="1" ht="11.25" customHeight="1" thickBot="1" x14ac:dyDescent="0.3">
      <c r="A14" s="41" t="s">
        <v>44</v>
      </c>
      <c r="B14" s="47">
        <v>1</v>
      </c>
      <c r="C14" s="48" t="s">
        <v>45</v>
      </c>
      <c r="D14" s="49" t="s">
        <v>17</v>
      </c>
      <c r="E14" s="49" t="s">
        <v>46</v>
      </c>
      <c r="F14" s="49" t="s">
        <v>47</v>
      </c>
      <c r="G14" s="48" t="s">
        <v>48</v>
      </c>
      <c r="H14" s="48">
        <f>ROUND(1,3)</f>
        <v>1</v>
      </c>
      <c r="I14" s="48">
        <v>0</v>
      </c>
      <c r="J14" s="48">
        <f>ROUND(H14,3) * I14</f>
        <v>0</v>
      </c>
      <c r="K14" s="50"/>
      <c r="L14" s="51">
        <f>ROUND(ROUND(H14,3) * ROUND(K14,2),2)</f>
        <v>0</v>
      </c>
    </row>
    <row r="15" spans="1:15" s="41" customFormat="1" x14ac:dyDescent="0.25">
      <c r="A15" s="41" t="s">
        <v>49</v>
      </c>
      <c r="B15" s="52"/>
      <c r="F15" s="53" t="s">
        <v>17</v>
      </c>
      <c r="G15" s="54"/>
      <c r="H15" s="54"/>
      <c r="I15" s="54"/>
      <c r="J15" s="54"/>
      <c r="K15" s="54"/>
      <c r="L15" s="55"/>
    </row>
    <row r="16" spans="1:15" s="41" customFormat="1" x14ac:dyDescent="0.25">
      <c r="A16" s="41" t="s">
        <v>51</v>
      </c>
      <c r="B16" s="52"/>
      <c r="F16" s="56" t="s">
        <v>17</v>
      </c>
      <c r="G16" s="54"/>
      <c r="H16" s="54"/>
      <c r="I16" s="54"/>
      <c r="J16" s="54"/>
      <c r="K16" s="54"/>
      <c r="L16" s="55"/>
    </row>
    <row r="17" spans="1:12" s="41" customFormat="1" ht="12" thickBot="1" x14ac:dyDescent="0.3">
      <c r="A17" s="41" t="s">
        <v>53</v>
      </c>
      <c r="B17" s="52"/>
      <c r="F17" s="57" t="s">
        <v>268</v>
      </c>
      <c r="G17" s="54"/>
      <c r="H17" s="54"/>
      <c r="I17" s="54"/>
      <c r="J17" s="54"/>
      <c r="K17" s="54"/>
      <c r="L17" s="55"/>
    </row>
    <row r="18" spans="1:12" ht="11.25" customHeight="1" thickBot="1" x14ac:dyDescent="0.25">
      <c r="A18" s="58" t="s">
        <v>44</v>
      </c>
      <c r="B18" s="47">
        <v>2</v>
      </c>
      <c r="C18" s="48" t="s">
        <v>55</v>
      </c>
      <c r="D18" s="49" t="s">
        <v>17</v>
      </c>
      <c r="E18" s="49" t="s">
        <v>46</v>
      </c>
      <c r="F18" s="49" t="s">
        <v>56</v>
      </c>
      <c r="G18" s="48" t="s">
        <v>48</v>
      </c>
      <c r="H18" s="48">
        <f>ROUND(1,3)</f>
        <v>1</v>
      </c>
      <c r="I18" s="48">
        <v>0</v>
      </c>
      <c r="J18" s="48">
        <f>ROUND(H18,3) * I18</f>
        <v>0</v>
      </c>
      <c r="K18" s="50"/>
      <c r="L18" s="51">
        <f>ROUND(ROUND(H18,3) * ROUND(K18,2),2)</f>
        <v>0</v>
      </c>
    </row>
    <row r="19" spans="1:12" x14ac:dyDescent="0.2">
      <c r="A19" s="58" t="s">
        <v>49</v>
      </c>
      <c r="B19" s="59"/>
      <c r="F19" s="53" t="s">
        <v>17</v>
      </c>
      <c r="L19" s="61"/>
    </row>
    <row r="20" spans="1:12" x14ac:dyDescent="0.2">
      <c r="A20" s="41" t="s">
        <v>51</v>
      </c>
      <c r="B20" s="59"/>
      <c r="F20" s="56" t="s">
        <v>17</v>
      </c>
      <c r="L20" s="61"/>
    </row>
    <row r="21" spans="1:12" ht="12" thickBot="1" x14ac:dyDescent="0.25">
      <c r="A21" s="58" t="s">
        <v>53</v>
      </c>
      <c r="B21" s="59"/>
      <c r="F21" s="57" t="s">
        <v>57</v>
      </c>
      <c r="L21" s="61"/>
    </row>
    <row r="22" spans="1:12" ht="13.5" customHeight="1" thickBot="1" x14ac:dyDescent="0.25">
      <c r="B22" s="62" t="s">
        <v>58</v>
      </c>
      <c r="C22" s="63" t="s">
        <v>59</v>
      </c>
      <c r="D22" s="64"/>
      <c r="E22" s="64"/>
      <c r="F22" s="64" t="s">
        <v>43</v>
      </c>
      <c r="G22" s="64"/>
      <c r="H22" s="64"/>
      <c r="I22" s="64"/>
      <c r="J22" s="64"/>
      <c r="K22" s="64"/>
      <c r="L22" s="65">
        <f>SUM(L14:L21)</f>
        <v>0</v>
      </c>
    </row>
    <row r="23" spans="1:12" ht="20.100000000000001" customHeight="1" thickBot="1" x14ac:dyDescent="0.25">
      <c r="A23" s="58" t="s">
        <v>40</v>
      </c>
      <c r="B23" s="66" t="s">
        <v>41</v>
      </c>
      <c r="C23" s="43" t="s">
        <v>60</v>
      </c>
      <c r="D23" s="44"/>
      <c r="E23" s="44"/>
      <c r="F23" s="45" t="s">
        <v>61</v>
      </c>
      <c r="G23" s="44"/>
      <c r="H23" s="44"/>
      <c r="I23" s="44"/>
      <c r="J23" s="44"/>
      <c r="K23" s="44"/>
      <c r="L23" s="46"/>
    </row>
    <row r="24" spans="1:12" ht="11.25" customHeight="1" thickBot="1" x14ac:dyDescent="0.25">
      <c r="A24" s="58" t="s">
        <v>44</v>
      </c>
      <c r="B24" s="47">
        <v>3</v>
      </c>
      <c r="C24" s="48" t="s">
        <v>269</v>
      </c>
      <c r="D24" s="49" t="s">
        <v>17</v>
      </c>
      <c r="E24" s="49" t="s">
        <v>46</v>
      </c>
      <c r="F24" s="49" t="s">
        <v>270</v>
      </c>
      <c r="G24" s="48" t="s">
        <v>64</v>
      </c>
      <c r="H24" s="48">
        <f>ROUND(0.5,3)</f>
        <v>0.5</v>
      </c>
      <c r="I24" s="48">
        <v>0</v>
      </c>
      <c r="J24" s="48">
        <f>ROUND(H24,3) * I24</f>
        <v>0</v>
      </c>
      <c r="K24" s="50"/>
      <c r="L24" s="51">
        <f>ROUND(ROUND(H24,3) * ROUND(K24,2),2)</f>
        <v>0</v>
      </c>
    </row>
    <row r="25" spans="1:12" x14ac:dyDescent="0.2">
      <c r="A25" s="58" t="s">
        <v>49</v>
      </c>
      <c r="B25" s="59"/>
      <c r="F25" s="53" t="s">
        <v>17</v>
      </c>
      <c r="L25" s="61"/>
    </row>
    <row r="26" spans="1:12" x14ac:dyDescent="0.2">
      <c r="A26" s="41" t="s">
        <v>51</v>
      </c>
      <c r="B26" s="59"/>
      <c r="F26" s="56" t="s">
        <v>271</v>
      </c>
      <c r="L26" s="61"/>
    </row>
    <row r="27" spans="1:12" ht="270.75" thickBot="1" x14ac:dyDescent="0.25">
      <c r="A27" s="58" t="s">
        <v>53</v>
      </c>
      <c r="B27" s="59"/>
      <c r="F27" s="57" t="s">
        <v>66</v>
      </c>
      <c r="L27" s="61"/>
    </row>
    <row r="28" spans="1:12" ht="11.25" customHeight="1" thickBot="1" x14ac:dyDescent="0.25">
      <c r="A28" s="58" t="s">
        <v>44</v>
      </c>
      <c r="B28" s="47">
        <v>4</v>
      </c>
      <c r="C28" s="48" t="s">
        <v>72</v>
      </c>
      <c r="D28" s="49" t="s">
        <v>17</v>
      </c>
      <c r="E28" s="49" t="s">
        <v>46</v>
      </c>
      <c r="F28" s="49" t="s">
        <v>73</v>
      </c>
      <c r="G28" s="48" t="s">
        <v>64</v>
      </c>
      <c r="H28" s="48">
        <f>ROUND(0.5,3)</f>
        <v>0.5</v>
      </c>
      <c r="I28" s="48">
        <v>0</v>
      </c>
      <c r="J28" s="48">
        <f>ROUND(H28,3) * I28</f>
        <v>0</v>
      </c>
      <c r="K28" s="50"/>
      <c r="L28" s="51">
        <f>ROUND(ROUND(H28,3) * ROUND(K28,2),2)</f>
        <v>0</v>
      </c>
    </row>
    <row r="29" spans="1:12" x14ac:dyDescent="0.2">
      <c r="A29" s="58" t="s">
        <v>49</v>
      </c>
      <c r="B29" s="59"/>
      <c r="F29" s="53" t="s">
        <v>17</v>
      </c>
      <c r="L29" s="61"/>
    </row>
    <row r="30" spans="1:12" x14ac:dyDescent="0.2">
      <c r="A30" s="41" t="s">
        <v>51</v>
      </c>
      <c r="B30" s="59"/>
      <c r="F30" s="56" t="s">
        <v>272</v>
      </c>
      <c r="L30" s="61"/>
    </row>
    <row r="31" spans="1:12" ht="192" thickBot="1" x14ac:dyDescent="0.25">
      <c r="A31" s="58" t="s">
        <v>53</v>
      </c>
      <c r="B31" s="59"/>
      <c r="F31" s="57" t="s">
        <v>74</v>
      </c>
      <c r="L31" s="61"/>
    </row>
    <row r="32" spans="1:12" ht="11.25" customHeight="1" thickBot="1" x14ac:dyDescent="0.25">
      <c r="A32" s="58" t="s">
        <v>44</v>
      </c>
      <c r="B32" s="47">
        <v>5</v>
      </c>
      <c r="C32" s="48" t="s">
        <v>79</v>
      </c>
      <c r="D32" s="49" t="s">
        <v>17</v>
      </c>
      <c r="E32" s="49" t="s">
        <v>46</v>
      </c>
      <c r="F32" s="49" t="s">
        <v>80</v>
      </c>
      <c r="G32" s="48" t="s">
        <v>81</v>
      </c>
      <c r="H32" s="48">
        <f>ROUND(5,3)</f>
        <v>5</v>
      </c>
      <c r="I32" s="48">
        <v>0</v>
      </c>
      <c r="J32" s="48">
        <f>ROUND(H32,3) * I32</f>
        <v>0</v>
      </c>
      <c r="K32" s="50"/>
      <c r="L32" s="51">
        <f>ROUND(ROUND(H32,3) * ROUND(K32,2),2)</f>
        <v>0</v>
      </c>
    </row>
    <row r="33" spans="1:12" x14ac:dyDescent="0.2">
      <c r="A33" s="58" t="s">
        <v>49</v>
      </c>
      <c r="B33" s="59"/>
      <c r="F33" s="53" t="s">
        <v>17</v>
      </c>
      <c r="L33" s="61"/>
    </row>
    <row r="34" spans="1:12" x14ac:dyDescent="0.2">
      <c r="A34" s="41" t="s">
        <v>51</v>
      </c>
      <c r="B34" s="59"/>
      <c r="F34" s="56" t="s">
        <v>273</v>
      </c>
      <c r="L34" s="61"/>
    </row>
    <row r="35" spans="1:12" ht="12" thickBot="1" x14ac:dyDescent="0.25">
      <c r="A35" s="58" t="s">
        <v>53</v>
      </c>
      <c r="B35" s="59"/>
      <c r="F35" s="57" t="s">
        <v>83</v>
      </c>
      <c r="L35" s="61"/>
    </row>
    <row r="36" spans="1:12" ht="13.5" customHeight="1" thickBot="1" x14ac:dyDescent="0.25">
      <c r="B36" s="62" t="s">
        <v>58</v>
      </c>
      <c r="C36" s="63" t="s">
        <v>59</v>
      </c>
      <c r="D36" s="64"/>
      <c r="E36" s="64"/>
      <c r="F36" s="64" t="s">
        <v>61</v>
      </c>
      <c r="G36" s="64"/>
      <c r="H36" s="64"/>
      <c r="I36" s="64"/>
      <c r="J36" s="64"/>
      <c r="K36" s="64"/>
      <c r="L36" s="65">
        <f>SUM(L24:L35)</f>
        <v>0</v>
      </c>
    </row>
    <row r="37" spans="1:12" ht="20.100000000000001" customHeight="1" thickBot="1" x14ac:dyDescent="0.25">
      <c r="A37" s="58" t="s">
        <v>40</v>
      </c>
      <c r="B37" s="66" t="s">
        <v>41</v>
      </c>
      <c r="C37" s="43" t="s">
        <v>119</v>
      </c>
      <c r="D37" s="44"/>
      <c r="E37" s="44"/>
      <c r="F37" s="45" t="s">
        <v>120</v>
      </c>
      <c r="G37" s="44"/>
      <c r="H37" s="44"/>
      <c r="I37" s="44"/>
      <c r="J37" s="44"/>
      <c r="K37" s="44"/>
      <c r="L37" s="46"/>
    </row>
    <row r="38" spans="1:12" ht="11.25" customHeight="1" thickBot="1" x14ac:dyDescent="0.25">
      <c r="A38" s="58" t="s">
        <v>44</v>
      </c>
      <c r="B38" s="47">
        <v>6</v>
      </c>
      <c r="C38" s="48" t="s">
        <v>116</v>
      </c>
      <c r="D38" s="49" t="s">
        <v>17</v>
      </c>
      <c r="E38" s="49" t="s">
        <v>46</v>
      </c>
      <c r="F38" s="49" t="s">
        <v>117</v>
      </c>
      <c r="G38" s="48" t="s">
        <v>91</v>
      </c>
      <c r="H38" s="48">
        <f>ROUND(8,3)</f>
        <v>8</v>
      </c>
      <c r="I38" s="48">
        <v>0</v>
      </c>
      <c r="J38" s="48">
        <f>ROUND(H38,3) * I38</f>
        <v>0</v>
      </c>
      <c r="K38" s="50"/>
      <c r="L38" s="51">
        <f>ROUND(ROUND(H38,3) * ROUND(K38,2),2)</f>
        <v>0</v>
      </c>
    </row>
    <row r="39" spans="1:12" x14ac:dyDescent="0.2">
      <c r="A39" s="58" t="s">
        <v>49</v>
      </c>
      <c r="B39" s="59"/>
      <c r="F39" s="53" t="s">
        <v>17</v>
      </c>
      <c r="L39" s="61"/>
    </row>
    <row r="40" spans="1:12" x14ac:dyDescent="0.2">
      <c r="A40" s="41" t="s">
        <v>51</v>
      </c>
      <c r="B40" s="59"/>
      <c r="F40" s="56" t="s">
        <v>17</v>
      </c>
      <c r="L40" s="61"/>
    </row>
    <row r="41" spans="1:12" ht="90.75" thickBot="1" x14ac:dyDescent="0.25">
      <c r="A41" s="58" t="s">
        <v>53</v>
      </c>
      <c r="B41" s="59"/>
      <c r="F41" s="57" t="s">
        <v>274</v>
      </c>
      <c r="L41" s="61"/>
    </row>
    <row r="42" spans="1:12" ht="11.25" customHeight="1" thickBot="1" x14ac:dyDescent="0.25">
      <c r="A42" s="58" t="s">
        <v>44</v>
      </c>
      <c r="B42" s="47">
        <v>7</v>
      </c>
      <c r="C42" s="48" t="s">
        <v>275</v>
      </c>
      <c r="D42" s="49" t="s">
        <v>17</v>
      </c>
      <c r="E42" s="49" t="s">
        <v>46</v>
      </c>
      <c r="F42" s="49" t="s">
        <v>276</v>
      </c>
      <c r="G42" s="48" t="s">
        <v>69</v>
      </c>
      <c r="H42" s="48">
        <f>ROUND(10,3)</f>
        <v>10</v>
      </c>
      <c r="I42" s="48">
        <v>0</v>
      </c>
      <c r="J42" s="48">
        <f>ROUND(H42,3) * I42</f>
        <v>0</v>
      </c>
      <c r="K42" s="50"/>
      <c r="L42" s="51">
        <f>ROUND(ROUND(H42,3) * ROUND(K42,2),2)</f>
        <v>0</v>
      </c>
    </row>
    <row r="43" spans="1:12" x14ac:dyDescent="0.2">
      <c r="A43" s="58" t="s">
        <v>49</v>
      </c>
      <c r="B43" s="59"/>
      <c r="F43" s="53" t="s">
        <v>17</v>
      </c>
      <c r="L43" s="61"/>
    </row>
    <row r="44" spans="1:12" x14ac:dyDescent="0.2">
      <c r="A44" s="41" t="s">
        <v>51</v>
      </c>
      <c r="B44" s="59"/>
      <c r="F44" s="56" t="s">
        <v>17</v>
      </c>
      <c r="L44" s="61"/>
    </row>
    <row r="45" spans="1:12" ht="68.25" thickBot="1" x14ac:dyDescent="0.25">
      <c r="A45" s="58" t="s">
        <v>53</v>
      </c>
      <c r="B45" s="59"/>
      <c r="F45" s="57" t="s">
        <v>277</v>
      </c>
      <c r="L45" s="61"/>
    </row>
    <row r="46" spans="1:12" ht="11.25" customHeight="1" thickBot="1" x14ac:dyDescent="0.25">
      <c r="A46" s="58" t="s">
        <v>44</v>
      </c>
      <c r="B46" s="47">
        <v>8</v>
      </c>
      <c r="C46" s="48" t="s">
        <v>278</v>
      </c>
      <c r="D46" s="49" t="s">
        <v>17</v>
      </c>
      <c r="E46" s="49" t="s">
        <v>46</v>
      </c>
      <c r="F46" s="49" t="s">
        <v>279</v>
      </c>
      <c r="G46" s="48" t="s">
        <v>69</v>
      </c>
      <c r="H46" s="48">
        <f>ROUND(10,3)</f>
        <v>10</v>
      </c>
      <c r="I46" s="48">
        <v>0</v>
      </c>
      <c r="J46" s="48">
        <f>ROUND(H46,3) * I46</f>
        <v>0</v>
      </c>
      <c r="K46" s="50"/>
      <c r="L46" s="51">
        <f>ROUND(ROUND(H46,3) * ROUND(K46,2),2)</f>
        <v>0</v>
      </c>
    </row>
    <row r="47" spans="1:12" x14ac:dyDescent="0.2">
      <c r="A47" s="58" t="s">
        <v>49</v>
      </c>
      <c r="B47" s="59"/>
      <c r="F47" s="53" t="s">
        <v>17</v>
      </c>
      <c r="L47" s="61"/>
    </row>
    <row r="48" spans="1:12" x14ac:dyDescent="0.2">
      <c r="A48" s="41" t="s">
        <v>51</v>
      </c>
      <c r="B48" s="59"/>
      <c r="F48" s="56" t="s">
        <v>280</v>
      </c>
      <c r="L48" s="61"/>
    </row>
    <row r="49" spans="1:12" ht="68.25" thickBot="1" x14ac:dyDescent="0.25">
      <c r="A49" s="58" t="s">
        <v>53</v>
      </c>
      <c r="B49" s="59"/>
      <c r="F49" s="57" t="s">
        <v>277</v>
      </c>
      <c r="L49" s="61"/>
    </row>
    <row r="50" spans="1:12" ht="11.25" customHeight="1" thickBot="1" x14ac:dyDescent="0.25">
      <c r="A50" s="58" t="s">
        <v>44</v>
      </c>
      <c r="B50" s="47">
        <v>9</v>
      </c>
      <c r="C50" s="48" t="s">
        <v>281</v>
      </c>
      <c r="D50" s="49" t="s">
        <v>17</v>
      </c>
      <c r="E50" s="49" t="s">
        <v>46</v>
      </c>
      <c r="F50" s="49" t="s">
        <v>282</v>
      </c>
      <c r="G50" s="48" t="s">
        <v>69</v>
      </c>
      <c r="H50" s="48">
        <f>ROUND(90,3)</f>
        <v>90</v>
      </c>
      <c r="I50" s="48">
        <v>0</v>
      </c>
      <c r="J50" s="48">
        <f>ROUND(H50,3) * I50</f>
        <v>0</v>
      </c>
      <c r="K50" s="50"/>
      <c r="L50" s="51">
        <f>ROUND(ROUND(H50,3) * ROUND(K50,2),2)</f>
        <v>0</v>
      </c>
    </row>
    <row r="51" spans="1:12" x14ac:dyDescent="0.2">
      <c r="A51" s="58" t="s">
        <v>49</v>
      </c>
      <c r="B51" s="59"/>
      <c r="F51" s="53" t="s">
        <v>17</v>
      </c>
      <c r="L51" s="61"/>
    </row>
    <row r="52" spans="1:12" x14ac:dyDescent="0.2">
      <c r="A52" s="41" t="s">
        <v>51</v>
      </c>
      <c r="B52" s="59"/>
      <c r="F52" s="56" t="s">
        <v>283</v>
      </c>
      <c r="L52" s="61"/>
    </row>
    <row r="53" spans="1:12" ht="68.25" thickBot="1" x14ac:dyDescent="0.25">
      <c r="A53" s="58" t="s">
        <v>53</v>
      </c>
      <c r="B53" s="59"/>
      <c r="F53" s="57" t="s">
        <v>277</v>
      </c>
      <c r="L53" s="61"/>
    </row>
    <row r="54" spans="1:12" ht="11.25" customHeight="1" thickBot="1" x14ac:dyDescent="0.25">
      <c r="A54" s="58" t="s">
        <v>44</v>
      </c>
      <c r="B54" s="47">
        <v>10</v>
      </c>
      <c r="C54" s="48" t="s">
        <v>284</v>
      </c>
      <c r="D54" s="49" t="s">
        <v>17</v>
      </c>
      <c r="E54" s="49" t="s">
        <v>46</v>
      </c>
      <c r="F54" s="49" t="s">
        <v>285</v>
      </c>
      <c r="G54" s="48" t="s">
        <v>91</v>
      </c>
      <c r="H54" s="48">
        <f>ROUND(4,3)</f>
        <v>4</v>
      </c>
      <c r="I54" s="48">
        <v>0</v>
      </c>
      <c r="J54" s="48">
        <f>ROUND(H54,3) * I54</f>
        <v>0</v>
      </c>
      <c r="K54" s="50"/>
      <c r="L54" s="51">
        <f>ROUND(ROUND(H54,3) * ROUND(K54,2),2)</f>
        <v>0</v>
      </c>
    </row>
    <row r="55" spans="1:12" x14ac:dyDescent="0.2">
      <c r="A55" s="58" t="s">
        <v>49</v>
      </c>
      <c r="B55" s="59"/>
      <c r="F55" s="53" t="s">
        <v>17</v>
      </c>
      <c r="L55" s="61"/>
    </row>
    <row r="56" spans="1:12" x14ac:dyDescent="0.2">
      <c r="A56" s="41" t="s">
        <v>51</v>
      </c>
      <c r="B56" s="59"/>
      <c r="F56" s="56" t="s">
        <v>17</v>
      </c>
      <c r="L56" s="61"/>
    </row>
    <row r="57" spans="1:12" ht="79.5" thickBot="1" x14ac:dyDescent="0.25">
      <c r="A57" s="58" t="s">
        <v>53</v>
      </c>
      <c r="B57" s="59"/>
      <c r="F57" s="57" t="s">
        <v>286</v>
      </c>
      <c r="L57" s="61"/>
    </row>
    <row r="58" spans="1:12" ht="11.25" customHeight="1" thickBot="1" x14ac:dyDescent="0.25">
      <c r="A58" s="58" t="s">
        <v>44</v>
      </c>
      <c r="B58" s="47">
        <v>11</v>
      </c>
      <c r="C58" s="48" t="s">
        <v>287</v>
      </c>
      <c r="D58" s="49" t="s">
        <v>17</v>
      </c>
      <c r="E58" s="49" t="s">
        <v>46</v>
      </c>
      <c r="F58" s="49" t="s">
        <v>288</v>
      </c>
      <c r="G58" s="48" t="s">
        <v>91</v>
      </c>
      <c r="H58" s="48">
        <f>ROUND(2,3)</f>
        <v>2</v>
      </c>
      <c r="I58" s="48">
        <v>0</v>
      </c>
      <c r="J58" s="48">
        <f>ROUND(H58,3) * I58</f>
        <v>0</v>
      </c>
      <c r="K58" s="50"/>
      <c r="L58" s="51">
        <f>ROUND(ROUND(H58,3) * ROUND(K58,2),2)</f>
        <v>0</v>
      </c>
    </row>
    <row r="59" spans="1:12" x14ac:dyDescent="0.2">
      <c r="A59" s="58" t="s">
        <v>49</v>
      </c>
      <c r="B59" s="59"/>
      <c r="F59" s="53" t="s">
        <v>17</v>
      </c>
      <c r="L59" s="61"/>
    </row>
    <row r="60" spans="1:12" x14ac:dyDescent="0.2">
      <c r="A60" s="41" t="s">
        <v>51</v>
      </c>
      <c r="B60" s="59"/>
      <c r="F60" s="56" t="s">
        <v>17</v>
      </c>
      <c r="L60" s="61"/>
    </row>
    <row r="61" spans="1:12" ht="79.5" thickBot="1" x14ac:dyDescent="0.25">
      <c r="A61" s="58" t="s">
        <v>53</v>
      </c>
      <c r="B61" s="59"/>
      <c r="F61" s="57" t="s">
        <v>286</v>
      </c>
      <c r="L61" s="61"/>
    </row>
    <row r="62" spans="1:12" ht="11.25" customHeight="1" thickBot="1" x14ac:dyDescent="0.25">
      <c r="A62" s="58" t="s">
        <v>44</v>
      </c>
      <c r="B62" s="47">
        <v>12</v>
      </c>
      <c r="C62" s="48" t="s">
        <v>289</v>
      </c>
      <c r="D62" s="49" t="s">
        <v>17</v>
      </c>
      <c r="E62" s="49" t="s">
        <v>46</v>
      </c>
      <c r="F62" s="49" t="s">
        <v>290</v>
      </c>
      <c r="G62" s="48" t="s">
        <v>91</v>
      </c>
      <c r="H62" s="48">
        <f>ROUND(6,3)</f>
        <v>6</v>
      </c>
      <c r="I62" s="48">
        <v>0</v>
      </c>
      <c r="J62" s="48">
        <f>ROUND(H62,3) * I62</f>
        <v>0</v>
      </c>
      <c r="K62" s="50"/>
      <c r="L62" s="51">
        <f>ROUND(ROUND(H62,3) * ROUND(K62,2),2)</f>
        <v>0</v>
      </c>
    </row>
    <row r="63" spans="1:12" x14ac:dyDescent="0.2">
      <c r="A63" s="58" t="s">
        <v>49</v>
      </c>
      <c r="B63" s="59"/>
      <c r="F63" s="53" t="s">
        <v>17</v>
      </c>
      <c r="L63" s="61"/>
    </row>
    <row r="64" spans="1:12" x14ac:dyDescent="0.2">
      <c r="A64" s="41" t="s">
        <v>51</v>
      </c>
      <c r="B64" s="59"/>
      <c r="F64" s="56" t="s">
        <v>17</v>
      </c>
      <c r="L64" s="61"/>
    </row>
    <row r="65" spans="1:12" ht="79.5" thickBot="1" x14ac:dyDescent="0.25">
      <c r="A65" s="58" t="s">
        <v>53</v>
      </c>
      <c r="B65" s="59"/>
      <c r="F65" s="57" t="s">
        <v>286</v>
      </c>
      <c r="L65" s="61"/>
    </row>
    <row r="66" spans="1:12" ht="11.25" customHeight="1" thickBot="1" x14ac:dyDescent="0.25">
      <c r="A66" s="58" t="s">
        <v>44</v>
      </c>
      <c r="B66" s="47">
        <v>13</v>
      </c>
      <c r="C66" s="48" t="s">
        <v>291</v>
      </c>
      <c r="D66" s="49" t="s">
        <v>17</v>
      </c>
      <c r="E66" s="49" t="s">
        <v>46</v>
      </c>
      <c r="F66" s="49" t="s">
        <v>292</v>
      </c>
      <c r="G66" s="48" t="s">
        <v>214</v>
      </c>
      <c r="H66" s="48">
        <f>ROUND(20,3)</f>
        <v>20</v>
      </c>
      <c r="I66" s="48">
        <v>0</v>
      </c>
      <c r="J66" s="48">
        <f>ROUND(H66,3) * I66</f>
        <v>0</v>
      </c>
      <c r="K66" s="50"/>
      <c r="L66" s="51">
        <f>ROUND(ROUND(H66,3) * ROUND(K66,2),2)</f>
        <v>0</v>
      </c>
    </row>
    <row r="67" spans="1:12" x14ac:dyDescent="0.2">
      <c r="A67" s="58" t="s">
        <v>49</v>
      </c>
      <c r="B67" s="59"/>
      <c r="F67" s="53" t="s">
        <v>17</v>
      </c>
      <c r="L67" s="61"/>
    </row>
    <row r="68" spans="1:12" x14ac:dyDescent="0.2">
      <c r="A68" s="41" t="s">
        <v>51</v>
      </c>
      <c r="B68" s="59"/>
      <c r="F68" s="56" t="s">
        <v>17</v>
      </c>
      <c r="L68" s="61"/>
    </row>
    <row r="69" spans="1:12" ht="79.5" thickBot="1" x14ac:dyDescent="0.25">
      <c r="A69" s="58" t="s">
        <v>53</v>
      </c>
      <c r="B69" s="59"/>
      <c r="F69" s="57" t="s">
        <v>293</v>
      </c>
      <c r="L69" s="61"/>
    </row>
    <row r="70" spans="1:12" ht="13.5" customHeight="1" thickBot="1" x14ac:dyDescent="0.25">
      <c r="B70" s="62" t="s">
        <v>58</v>
      </c>
      <c r="C70" s="63" t="s">
        <v>59</v>
      </c>
      <c r="D70" s="64"/>
      <c r="E70" s="64"/>
      <c r="F70" s="64" t="s">
        <v>120</v>
      </c>
      <c r="G70" s="64"/>
      <c r="H70" s="64"/>
      <c r="I70" s="64"/>
      <c r="J70" s="64"/>
      <c r="K70" s="64"/>
      <c r="L70" s="65">
        <f>SUM(L38:L69)</f>
        <v>0</v>
      </c>
    </row>
    <row r="71" spans="1:12" ht="20.100000000000001" customHeight="1" thickBot="1" x14ac:dyDescent="0.25">
      <c r="A71" s="58" t="s">
        <v>40</v>
      </c>
      <c r="B71" s="66" t="s">
        <v>41</v>
      </c>
      <c r="C71" s="43" t="s">
        <v>124</v>
      </c>
      <c r="D71" s="44"/>
      <c r="E71" s="44"/>
      <c r="F71" s="45" t="s">
        <v>125</v>
      </c>
      <c r="G71" s="44"/>
      <c r="H71" s="44"/>
      <c r="I71" s="44"/>
      <c r="J71" s="44"/>
      <c r="K71" s="44"/>
      <c r="L71" s="46"/>
    </row>
    <row r="72" spans="1:12" ht="11.25" customHeight="1" thickBot="1" x14ac:dyDescent="0.25">
      <c r="A72" s="58" t="s">
        <v>44</v>
      </c>
      <c r="B72" s="47">
        <v>14</v>
      </c>
      <c r="C72" s="48" t="s">
        <v>126</v>
      </c>
      <c r="D72" s="49" t="s">
        <v>17</v>
      </c>
      <c r="E72" s="49" t="s">
        <v>46</v>
      </c>
      <c r="F72" s="49" t="s">
        <v>127</v>
      </c>
      <c r="G72" s="48" t="s">
        <v>128</v>
      </c>
      <c r="H72" s="48">
        <f>ROUND(1.79,3)</f>
        <v>1.79</v>
      </c>
      <c r="I72" s="48">
        <v>0</v>
      </c>
      <c r="J72" s="48">
        <f>ROUND(H72,3) * I72</f>
        <v>0</v>
      </c>
      <c r="K72" s="50"/>
      <c r="L72" s="51">
        <f>ROUND(ROUND(H72,3) * ROUND(K72,2),2)</f>
        <v>0</v>
      </c>
    </row>
    <row r="73" spans="1:12" x14ac:dyDescent="0.2">
      <c r="A73" s="58" t="s">
        <v>49</v>
      </c>
      <c r="B73" s="59"/>
      <c r="F73" s="53" t="s">
        <v>17</v>
      </c>
      <c r="L73" s="61"/>
    </row>
    <row r="74" spans="1:12" ht="45" x14ac:dyDescent="0.2">
      <c r="A74" s="41" t="s">
        <v>51</v>
      </c>
      <c r="B74" s="59"/>
      <c r="F74" s="56" t="s">
        <v>294</v>
      </c>
      <c r="L74" s="61"/>
    </row>
    <row r="75" spans="1:12" ht="147" thickBot="1" x14ac:dyDescent="0.25">
      <c r="A75" s="58" t="s">
        <v>53</v>
      </c>
      <c r="B75" s="59"/>
      <c r="F75" s="57" t="s">
        <v>130</v>
      </c>
      <c r="L75" s="61"/>
    </row>
    <row r="76" spans="1:12" ht="11.25" customHeight="1" thickBot="1" x14ac:dyDescent="0.25">
      <c r="A76" s="58" t="s">
        <v>44</v>
      </c>
      <c r="B76" s="47">
        <v>15</v>
      </c>
      <c r="C76" s="48" t="s">
        <v>131</v>
      </c>
      <c r="D76" s="49" t="s">
        <v>17</v>
      </c>
      <c r="E76" s="49" t="s">
        <v>46</v>
      </c>
      <c r="F76" s="49" t="s">
        <v>132</v>
      </c>
      <c r="G76" s="48" t="s">
        <v>128</v>
      </c>
      <c r="H76" s="48">
        <f>ROUND(1.79,3)</f>
        <v>1.79</v>
      </c>
      <c r="I76" s="48">
        <v>0</v>
      </c>
      <c r="J76" s="48">
        <f>ROUND(H76,3) * I76</f>
        <v>0</v>
      </c>
      <c r="K76" s="50"/>
      <c r="L76" s="51">
        <f>ROUND(ROUND(H76,3) * ROUND(K76,2),2)</f>
        <v>0</v>
      </c>
    </row>
    <row r="77" spans="1:12" x14ac:dyDescent="0.2">
      <c r="A77" s="58" t="s">
        <v>49</v>
      </c>
      <c r="B77" s="59"/>
      <c r="F77" s="53" t="s">
        <v>17</v>
      </c>
      <c r="L77" s="61"/>
    </row>
    <row r="78" spans="1:12" x14ac:dyDescent="0.2">
      <c r="A78" s="41" t="s">
        <v>51</v>
      </c>
      <c r="B78" s="59"/>
      <c r="F78" s="56" t="s">
        <v>295</v>
      </c>
      <c r="L78" s="61"/>
    </row>
    <row r="79" spans="1:12" ht="68.25" thickBot="1" x14ac:dyDescent="0.25">
      <c r="A79" s="58" t="s">
        <v>53</v>
      </c>
      <c r="B79" s="59"/>
      <c r="F79" s="57" t="s">
        <v>134</v>
      </c>
      <c r="L79" s="61"/>
    </row>
    <row r="80" spans="1:12" ht="11.25" customHeight="1" thickBot="1" x14ac:dyDescent="0.25">
      <c r="A80" s="58" t="s">
        <v>44</v>
      </c>
      <c r="B80" s="47">
        <v>16</v>
      </c>
      <c r="C80" s="48" t="s">
        <v>141</v>
      </c>
      <c r="D80" s="49" t="s">
        <v>17</v>
      </c>
      <c r="E80" s="49" t="s">
        <v>46</v>
      </c>
      <c r="F80" s="49" t="s">
        <v>142</v>
      </c>
      <c r="G80" s="48" t="s">
        <v>91</v>
      </c>
      <c r="H80" s="48">
        <f>ROUND(12,3)</f>
        <v>12</v>
      </c>
      <c r="I80" s="48">
        <v>0</v>
      </c>
      <c r="J80" s="48">
        <f>ROUND(H80,3) * I80</f>
        <v>0</v>
      </c>
      <c r="K80" s="50"/>
      <c r="L80" s="51">
        <f>ROUND(ROUND(H80,3) * ROUND(K80,2),2)</f>
        <v>0</v>
      </c>
    </row>
    <row r="81" spans="1:12" x14ac:dyDescent="0.2">
      <c r="A81" s="58" t="s">
        <v>49</v>
      </c>
      <c r="B81" s="59"/>
      <c r="F81" s="53" t="s">
        <v>17</v>
      </c>
      <c r="L81" s="61"/>
    </row>
    <row r="82" spans="1:12" x14ac:dyDescent="0.2">
      <c r="A82" s="41" t="s">
        <v>51</v>
      </c>
      <c r="B82" s="59"/>
      <c r="F82" s="56" t="s">
        <v>17</v>
      </c>
      <c r="L82" s="61"/>
    </row>
    <row r="83" spans="1:12" ht="102" thickBot="1" x14ac:dyDescent="0.25">
      <c r="A83" s="58" t="s">
        <v>53</v>
      </c>
      <c r="B83" s="59"/>
      <c r="F83" s="57" t="s">
        <v>143</v>
      </c>
      <c r="L83" s="61"/>
    </row>
    <row r="84" spans="1:12" ht="11.25" customHeight="1" thickBot="1" x14ac:dyDescent="0.25">
      <c r="A84" s="58" t="s">
        <v>44</v>
      </c>
      <c r="B84" s="47">
        <v>17</v>
      </c>
      <c r="C84" s="48" t="s">
        <v>147</v>
      </c>
      <c r="D84" s="49" t="s">
        <v>17</v>
      </c>
      <c r="E84" s="49" t="s">
        <v>46</v>
      </c>
      <c r="F84" s="49" t="s">
        <v>148</v>
      </c>
      <c r="G84" s="48" t="s">
        <v>91</v>
      </c>
      <c r="H84" s="48">
        <f>ROUND(12,3)</f>
        <v>12</v>
      </c>
      <c r="I84" s="48">
        <v>0</v>
      </c>
      <c r="J84" s="48">
        <f>ROUND(H84,3) * I84</f>
        <v>0</v>
      </c>
      <c r="K84" s="50"/>
      <c r="L84" s="51">
        <f>ROUND(ROUND(H84,3) * ROUND(K84,2),2)</f>
        <v>0</v>
      </c>
    </row>
    <row r="85" spans="1:12" x14ac:dyDescent="0.2">
      <c r="A85" s="58" t="s">
        <v>49</v>
      </c>
      <c r="B85" s="59"/>
      <c r="F85" s="53" t="s">
        <v>17</v>
      </c>
      <c r="L85" s="61"/>
    </row>
    <row r="86" spans="1:12" x14ac:dyDescent="0.2">
      <c r="A86" s="41" t="s">
        <v>51</v>
      </c>
      <c r="B86" s="59"/>
      <c r="F86" s="56" t="s">
        <v>296</v>
      </c>
      <c r="L86" s="61"/>
    </row>
    <row r="87" spans="1:12" ht="90.75" thickBot="1" x14ac:dyDescent="0.25">
      <c r="A87" s="58" t="s">
        <v>53</v>
      </c>
      <c r="B87" s="59"/>
      <c r="F87" s="57" t="s">
        <v>150</v>
      </c>
      <c r="L87" s="61"/>
    </row>
    <row r="88" spans="1:12" ht="13.5" customHeight="1" thickBot="1" x14ac:dyDescent="0.25">
      <c r="B88" s="62" t="s">
        <v>58</v>
      </c>
      <c r="C88" s="63" t="s">
        <v>59</v>
      </c>
      <c r="D88" s="64"/>
      <c r="E88" s="64"/>
      <c r="F88" s="64" t="s">
        <v>125</v>
      </c>
      <c r="G88" s="64"/>
      <c r="H88" s="64"/>
      <c r="I88" s="64"/>
      <c r="J88" s="64"/>
      <c r="K88" s="64"/>
      <c r="L88" s="65">
        <f>SUM(L72:L87)</f>
        <v>0</v>
      </c>
    </row>
    <row r="89" spans="1:12" ht="20.100000000000001" customHeight="1" thickBot="1" x14ac:dyDescent="0.25">
      <c r="A89" s="58" t="s">
        <v>40</v>
      </c>
      <c r="B89" s="66" t="s">
        <v>41</v>
      </c>
      <c r="C89" s="43" t="s">
        <v>151</v>
      </c>
      <c r="D89" s="44"/>
      <c r="E89" s="44"/>
      <c r="F89" s="45" t="s">
        <v>152</v>
      </c>
      <c r="G89" s="44"/>
      <c r="H89" s="44"/>
      <c r="I89" s="44"/>
      <c r="J89" s="44"/>
      <c r="K89" s="44"/>
      <c r="L89" s="46"/>
    </row>
    <row r="90" spans="1:12" ht="11.25" customHeight="1" thickBot="1" x14ac:dyDescent="0.25">
      <c r="A90" s="58" t="s">
        <v>44</v>
      </c>
      <c r="B90" s="47">
        <v>18</v>
      </c>
      <c r="C90" s="48" t="s">
        <v>153</v>
      </c>
      <c r="D90" s="49" t="s">
        <v>17</v>
      </c>
      <c r="E90" s="49" t="s">
        <v>46</v>
      </c>
      <c r="F90" s="49" t="s">
        <v>154</v>
      </c>
      <c r="G90" s="48" t="s">
        <v>69</v>
      </c>
      <c r="H90" s="48">
        <f>ROUND(5,3)</f>
        <v>5</v>
      </c>
      <c r="I90" s="48">
        <v>0</v>
      </c>
      <c r="J90" s="48">
        <f>ROUND(H90,3) * I90</f>
        <v>0</v>
      </c>
      <c r="K90" s="50"/>
      <c r="L90" s="51">
        <f>ROUND(ROUND(H90,3) * ROUND(K90,2),2)</f>
        <v>0</v>
      </c>
    </row>
    <row r="91" spans="1:12" x14ac:dyDescent="0.2">
      <c r="A91" s="58" t="s">
        <v>49</v>
      </c>
      <c r="B91" s="59"/>
      <c r="F91" s="53" t="s">
        <v>17</v>
      </c>
      <c r="L91" s="61"/>
    </row>
    <row r="92" spans="1:12" x14ac:dyDescent="0.2">
      <c r="A92" s="41" t="s">
        <v>51</v>
      </c>
      <c r="B92" s="59"/>
      <c r="F92" s="56" t="s">
        <v>17</v>
      </c>
      <c r="L92" s="61"/>
    </row>
    <row r="93" spans="1:12" ht="90.75" thickBot="1" x14ac:dyDescent="0.25">
      <c r="A93" s="58" t="s">
        <v>53</v>
      </c>
      <c r="B93" s="59"/>
      <c r="F93" s="57" t="s">
        <v>155</v>
      </c>
      <c r="L93" s="61"/>
    </row>
    <row r="94" spans="1:12" ht="11.25" customHeight="1" thickBot="1" x14ac:dyDescent="0.25">
      <c r="A94" s="58" t="s">
        <v>44</v>
      </c>
      <c r="B94" s="47">
        <v>19</v>
      </c>
      <c r="C94" s="48" t="s">
        <v>156</v>
      </c>
      <c r="D94" s="49" t="s">
        <v>17</v>
      </c>
      <c r="E94" s="49" t="s">
        <v>46</v>
      </c>
      <c r="F94" s="49" t="s">
        <v>157</v>
      </c>
      <c r="G94" s="48" t="s">
        <v>69</v>
      </c>
      <c r="H94" s="48">
        <f>ROUND(5,3)</f>
        <v>5</v>
      </c>
      <c r="I94" s="48">
        <v>0</v>
      </c>
      <c r="J94" s="48">
        <f>ROUND(H94,3) * I94</f>
        <v>0</v>
      </c>
      <c r="K94" s="50"/>
      <c r="L94" s="51">
        <f>ROUND(ROUND(H94,3) * ROUND(K94,2),2)</f>
        <v>0</v>
      </c>
    </row>
    <row r="95" spans="1:12" x14ac:dyDescent="0.2">
      <c r="A95" s="58" t="s">
        <v>49</v>
      </c>
      <c r="B95" s="59"/>
      <c r="F95" s="53" t="s">
        <v>17</v>
      </c>
      <c r="L95" s="61"/>
    </row>
    <row r="96" spans="1:12" x14ac:dyDescent="0.2">
      <c r="A96" s="41" t="s">
        <v>51</v>
      </c>
      <c r="B96" s="59"/>
      <c r="F96" s="56" t="s">
        <v>17</v>
      </c>
      <c r="L96" s="61"/>
    </row>
    <row r="97" spans="1:12" ht="102" thickBot="1" x14ac:dyDescent="0.25">
      <c r="A97" s="58" t="s">
        <v>53</v>
      </c>
      <c r="B97" s="59"/>
      <c r="F97" s="57" t="s">
        <v>158</v>
      </c>
      <c r="L97" s="61"/>
    </row>
    <row r="98" spans="1:12" ht="11.25" customHeight="1" thickBot="1" x14ac:dyDescent="0.25">
      <c r="A98" s="58" t="s">
        <v>44</v>
      </c>
      <c r="B98" s="47">
        <v>20</v>
      </c>
      <c r="C98" s="48" t="s">
        <v>297</v>
      </c>
      <c r="D98" s="49" t="s">
        <v>17</v>
      </c>
      <c r="E98" s="49" t="s">
        <v>46</v>
      </c>
      <c r="F98" s="49" t="s">
        <v>298</v>
      </c>
      <c r="G98" s="48" t="s">
        <v>91</v>
      </c>
      <c r="H98" s="48">
        <f>ROUND(1,3)</f>
        <v>1</v>
      </c>
      <c r="I98" s="48">
        <v>0</v>
      </c>
      <c r="J98" s="48">
        <f>ROUND(H98,3) * I98</f>
        <v>0</v>
      </c>
      <c r="K98" s="50"/>
      <c r="L98" s="51">
        <f>ROUND(ROUND(H98,3) * ROUND(K98,2),2)</f>
        <v>0</v>
      </c>
    </row>
    <row r="99" spans="1:12" x14ac:dyDescent="0.2">
      <c r="A99" s="58" t="s">
        <v>49</v>
      </c>
      <c r="B99" s="59"/>
      <c r="F99" s="53" t="s">
        <v>17</v>
      </c>
      <c r="L99" s="61"/>
    </row>
    <row r="100" spans="1:12" x14ac:dyDescent="0.2">
      <c r="A100" s="41" t="s">
        <v>51</v>
      </c>
      <c r="B100" s="59"/>
      <c r="F100" s="56" t="s">
        <v>17</v>
      </c>
      <c r="L100" s="61"/>
    </row>
    <row r="101" spans="1:12" ht="90.75" thickBot="1" x14ac:dyDescent="0.25">
      <c r="A101" s="58" t="s">
        <v>53</v>
      </c>
      <c r="B101" s="59"/>
      <c r="F101" s="57" t="s">
        <v>299</v>
      </c>
      <c r="L101" s="61"/>
    </row>
    <row r="102" spans="1:12" ht="11.25" customHeight="1" thickBot="1" x14ac:dyDescent="0.25">
      <c r="A102" s="58" t="s">
        <v>44</v>
      </c>
      <c r="B102" s="47">
        <v>21</v>
      </c>
      <c r="C102" s="48" t="s">
        <v>300</v>
      </c>
      <c r="D102" s="49" t="s">
        <v>17</v>
      </c>
      <c r="E102" s="49" t="s">
        <v>46</v>
      </c>
      <c r="F102" s="49" t="s">
        <v>301</v>
      </c>
      <c r="G102" s="48" t="s">
        <v>91</v>
      </c>
      <c r="H102" s="48">
        <f>ROUND(1,3)</f>
        <v>1</v>
      </c>
      <c r="I102" s="48">
        <v>0</v>
      </c>
      <c r="J102" s="48">
        <f>ROUND(H102,3) * I102</f>
        <v>0</v>
      </c>
      <c r="K102" s="50"/>
      <c r="L102" s="51">
        <f>ROUND(ROUND(H102,3) * ROUND(K102,2),2)</f>
        <v>0</v>
      </c>
    </row>
    <row r="103" spans="1:12" x14ac:dyDescent="0.2">
      <c r="A103" s="58" t="s">
        <v>49</v>
      </c>
      <c r="B103" s="59"/>
      <c r="F103" s="53" t="s">
        <v>17</v>
      </c>
      <c r="L103" s="61"/>
    </row>
    <row r="104" spans="1:12" x14ac:dyDescent="0.2">
      <c r="A104" s="41" t="s">
        <v>51</v>
      </c>
      <c r="B104" s="59"/>
      <c r="F104" s="56" t="s">
        <v>17</v>
      </c>
      <c r="L104" s="61"/>
    </row>
    <row r="105" spans="1:12" ht="90.75" thickBot="1" x14ac:dyDescent="0.25">
      <c r="A105" s="58" t="s">
        <v>53</v>
      </c>
      <c r="B105" s="59"/>
      <c r="F105" s="57" t="s">
        <v>302</v>
      </c>
      <c r="L105" s="61"/>
    </row>
    <row r="106" spans="1:12" ht="11.25" customHeight="1" thickBot="1" x14ac:dyDescent="0.25">
      <c r="A106" s="58" t="s">
        <v>44</v>
      </c>
      <c r="B106" s="47">
        <v>22</v>
      </c>
      <c r="C106" s="48" t="s">
        <v>303</v>
      </c>
      <c r="D106" s="49" t="s">
        <v>17</v>
      </c>
      <c r="E106" s="49" t="s">
        <v>46</v>
      </c>
      <c r="F106" s="49" t="s">
        <v>304</v>
      </c>
      <c r="G106" s="48" t="s">
        <v>91</v>
      </c>
      <c r="H106" s="48">
        <f>ROUND(5,3)</f>
        <v>5</v>
      </c>
      <c r="I106" s="48">
        <v>0</v>
      </c>
      <c r="J106" s="48">
        <f>ROUND(H106,3) * I106</f>
        <v>0</v>
      </c>
      <c r="K106" s="50"/>
      <c r="L106" s="51">
        <f>ROUND(ROUND(H106,3) * ROUND(K106,2),2)</f>
        <v>0</v>
      </c>
    </row>
    <row r="107" spans="1:12" x14ac:dyDescent="0.2">
      <c r="A107" s="58" t="s">
        <v>49</v>
      </c>
      <c r="B107" s="59"/>
      <c r="F107" s="53" t="s">
        <v>17</v>
      </c>
      <c r="L107" s="61"/>
    </row>
    <row r="108" spans="1:12" x14ac:dyDescent="0.2">
      <c r="A108" s="41" t="s">
        <v>51</v>
      </c>
      <c r="B108" s="59"/>
      <c r="F108" s="56" t="s">
        <v>17</v>
      </c>
      <c r="L108" s="61"/>
    </row>
    <row r="109" spans="1:12" ht="90.75" thickBot="1" x14ac:dyDescent="0.25">
      <c r="A109" s="58" t="s">
        <v>53</v>
      </c>
      <c r="B109" s="59"/>
      <c r="F109" s="57" t="s">
        <v>305</v>
      </c>
      <c r="L109" s="61"/>
    </row>
    <row r="110" spans="1:12" ht="11.25" customHeight="1" thickBot="1" x14ac:dyDescent="0.25">
      <c r="A110" s="58" t="s">
        <v>44</v>
      </c>
      <c r="B110" s="47">
        <v>23</v>
      </c>
      <c r="C110" s="48" t="s">
        <v>306</v>
      </c>
      <c r="D110" s="49" t="s">
        <v>17</v>
      </c>
      <c r="E110" s="49" t="s">
        <v>46</v>
      </c>
      <c r="F110" s="49" t="s">
        <v>307</v>
      </c>
      <c r="G110" s="48" t="s">
        <v>91</v>
      </c>
      <c r="H110" s="48">
        <f>ROUND(5,3)</f>
        <v>5</v>
      </c>
      <c r="I110" s="48">
        <v>0</v>
      </c>
      <c r="J110" s="48">
        <f>ROUND(H110,3) * I110</f>
        <v>0</v>
      </c>
      <c r="K110" s="50"/>
      <c r="L110" s="51">
        <f>ROUND(ROUND(H110,3) * ROUND(K110,2),2)</f>
        <v>0</v>
      </c>
    </row>
    <row r="111" spans="1:12" x14ac:dyDescent="0.2">
      <c r="A111" s="58" t="s">
        <v>49</v>
      </c>
      <c r="B111" s="59"/>
      <c r="F111" s="53" t="s">
        <v>17</v>
      </c>
      <c r="L111" s="61"/>
    </row>
    <row r="112" spans="1:12" x14ac:dyDescent="0.2">
      <c r="A112" s="41" t="s">
        <v>51</v>
      </c>
      <c r="B112" s="59"/>
      <c r="F112" s="56" t="s">
        <v>17</v>
      </c>
      <c r="L112" s="61"/>
    </row>
    <row r="113" spans="1:12" ht="102" thickBot="1" x14ac:dyDescent="0.25">
      <c r="A113" s="58" t="s">
        <v>53</v>
      </c>
      <c r="B113" s="59"/>
      <c r="F113" s="57" t="s">
        <v>308</v>
      </c>
      <c r="L113" s="61"/>
    </row>
    <row r="114" spans="1:12" ht="11.25" customHeight="1" thickBot="1" x14ac:dyDescent="0.25">
      <c r="A114" s="58" t="s">
        <v>44</v>
      </c>
      <c r="B114" s="47">
        <v>24</v>
      </c>
      <c r="C114" s="48" t="s">
        <v>309</v>
      </c>
      <c r="D114" s="49" t="s">
        <v>17</v>
      </c>
      <c r="E114" s="49" t="s">
        <v>46</v>
      </c>
      <c r="F114" s="49" t="s">
        <v>310</v>
      </c>
      <c r="G114" s="48" t="s">
        <v>91</v>
      </c>
      <c r="H114" s="48">
        <f>ROUND(1,3)</f>
        <v>1</v>
      </c>
      <c r="I114" s="48">
        <v>0</v>
      </c>
      <c r="J114" s="48">
        <f>ROUND(H114,3) * I114</f>
        <v>0</v>
      </c>
      <c r="K114" s="50"/>
      <c r="L114" s="51">
        <f>ROUND(ROUND(H114,3) * ROUND(K114,2),2)</f>
        <v>0</v>
      </c>
    </row>
    <row r="115" spans="1:12" x14ac:dyDescent="0.2">
      <c r="A115" s="58" t="s">
        <v>49</v>
      </c>
      <c r="B115" s="59"/>
      <c r="F115" s="53" t="s">
        <v>17</v>
      </c>
      <c r="L115" s="61"/>
    </row>
    <row r="116" spans="1:12" x14ac:dyDescent="0.2">
      <c r="A116" s="41" t="s">
        <v>51</v>
      </c>
      <c r="B116" s="59"/>
      <c r="F116" s="56" t="s">
        <v>52</v>
      </c>
      <c r="L116" s="61"/>
    </row>
    <row r="117" spans="1:12" ht="90.75" thickBot="1" x14ac:dyDescent="0.25">
      <c r="A117" s="58" t="s">
        <v>53</v>
      </c>
      <c r="B117" s="59"/>
      <c r="F117" s="57" t="s">
        <v>311</v>
      </c>
      <c r="L117" s="61"/>
    </row>
    <row r="118" spans="1:12" ht="11.25" customHeight="1" thickBot="1" x14ac:dyDescent="0.25">
      <c r="A118" s="58" t="s">
        <v>44</v>
      </c>
      <c r="B118" s="47">
        <v>25</v>
      </c>
      <c r="C118" s="48" t="s">
        <v>312</v>
      </c>
      <c r="D118" s="49" t="s">
        <v>17</v>
      </c>
      <c r="E118" s="49" t="s">
        <v>46</v>
      </c>
      <c r="F118" s="49" t="s">
        <v>313</v>
      </c>
      <c r="G118" s="48" t="s">
        <v>91</v>
      </c>
      <c r="H118" s="48">
        <f>ROUND(1,3)</f>
        <v>1</v>
      </c>
      <c r="I118" s="48">
        <v>0</v>
      </c>
      <c r="J118" s="48">
        <f>ROUND(H118,3) * I118</f>
        <v>0</v>
      </c>
      <c r="K118" s="50"/>
      <c r="L118" s="51">
        <f>ROUND(ROUND(H118,3) * ROUND(K118,2),2)</f>
        <v>0</v>
      </c>
    </row>
    <row r="119" spans="1:12" x14ac:dyDescent="0.2">
      <c r="A119" s="58" t="s">
        <v>49</v>
      </c>
      <c r="B119" s="59"/>
      <c r="F119" s="53" t="s">
        <v>17</v>
      </c>
      <c r="L119" s="61"/>
    </row>
    <row r="120" spans="1:12" x14ac:dyDescent="0.2">
      <c r="A120" s="41" t="s">
        <v>51</v>
      </c>
      <c r="B120" s="59"/>
      <c r="F120" s="56" t="s">
        <v>17</v>
      </c>
      <c r="L120" s="61"/>
    </row>
    <row r="121" spans="1:12" ht="90.75" thickBot="1" x14ac:dyDescent="0.25">
      <c r="A121" s="58" t="s">
        <v>53</v>
      </c>
      <c r="B121" s="59"/>
      <c r="F121" s="57" t="s">
        <v>314</v>
      </c>
      <c r="L121" s="61"/>
    </row>
    <row r="122" spans="1:12" ht="11.25" customHeight="1" thickBot="1" x14ac:dyDescent="0.25">
      <c r="A122" s="58" t="s">
        <v>44</v>
      </c>
      <c r="B122" s="47">
        <v>26</v>
      </c>
      <c r="C122" s="48" t="s">
        <v>315</v>
      </c>
      <c r="D122" s="49" t="s">
        <v>17</v>
      </c>
      <c r="E122" s="49" t="s">
        <v>46</v>
      </c>
      <c r="F122" s="49" t="s">
        <v>316</v>
      </c>
      <c r="G122" s="48" t="s">
        <v>91</v>
      </c>
      <c r="H122" s="48">
        <f>ROUND(1,3)</f>
        <v>1</v>
      </c>
      <c r="I122" s="48">
        <v>0</v>
      </c>
      <c r="J122" s="48">
        <f>ROUND(H122,3) * I122</f>
        <v>0</v>
      </c>
      <c r="K122" s="50"/>
      <c r="L122" s="51">
        <f>ROUND(ROUND(H122,3) * ROUND(K122,2),2)</f>
        <v>0</v>
      </c>
    </row>
    <row r="123" spans="1:12" x14ac:dyDescent="0.2">
      <c r="A123" s="58" t="s">
        <v>49</v>
      </c>
      <c r="B123" s="59"/>
      <c r="F123" s="53" t="s">
        <v>17</v>
      </c>
      <c r="L123" s="61"/>
    </row>
    <row r="124" spans="1:12" x14ac:dyDescent="0.2">
      <c r="A124" s="41" t="s">
        <v>51</v>
      </c>
      <c r="B124" s="59"/>
      <c r="F124" s="56" t="s">
        <v>17</v>
      </c>
      <c r="L124" s="61"/>
    </row>
    <row r="125" spans="1:12" ht="113.25" thickBot="1" x14ac:dyDescent="0.25">
      <c r="A125" s="58" t="s">
        <v>53</v>
      </c>
      <c r="B125" s="59"/>
      <c r="F125" s="57" t="s">
        <v>317</v>
      </c>
      <c r="L125" s="61"/>
    </row>
    <row r="126" spans="1:12" ht="11.25" customHeight="1" thickBot="1" x14ac:dyDescent="0.25">
      <c r="A126" s="58" t="s">
        <v>44</v>
      </c>
      <c r="B126" s="47">
        <v>27</v>
      </c>
      <c r="C126" s="48" t="s">
        <v>318</v>
      </c>
      <c r="D126" s="49" t="s">
        <v>17</v>
      </c>
      <c r="E126" s="49" t="s">
        <v>46</v>
      </c>
      <c r="F126" s="49" t="s">
        <v>319</v>
      </c>
      <c r="G126" s="48" t="s">
        <v>91</v>
      </c>
      <c r="H126" s="48">
        <f>ROUND(1,3)</f>
        <v>1</v>
      </c>
      <c r="I126" s="48">
        <v>0</v>
      </c>
      <c r="J126" s="48">
        <f>ROUND(H126,3) * I126</f>
        <v>0</v>
      </c>
      <c r="K126" s="50"/>
      <c r="L126" s="51">
        <f>ROUND(ROUND(H126,3) * ROUND(K126,2),2)</f>
        <v>0</v>
      </c>
    </row>
    <row r="127" spans="1:12" x14ac:dyDescent="0.2">
      <c r="A127" s="58" t="s">
        <v>49</v>
      </c>
      <c r="B127" s="59"/>
      <c r="F127" s="53" t="s">
        <v>17</v>
      </c>
      <c r="L127" s="61"/>
    </row>
    <row r="128" spans="1:12" x14ac:dyDescent="0.2">
      <c r="A128" s="41" t="s">
        <v>51</v>
      </c>
      <c r="B128" s="59"/>
      <c r="F128" s="56" t="s">
        <v>17</v>
      </c>
      <c r="L128" s="61"/>
    </row>
    <row r="129" spans="1:12" ht="90.75" thickBot="1" x14ac:dyDescent="0.25">
      <c r="A129" s="58" t="s">
        <v>53</v>
      </c>
      <c r="B129" s="59"/>
      <c r="F129" s="57" t="s">
        <v>320</v>
      </c>
      <c r="L129" s="61"/>
    </row>
    <row r="130" spans="1:12" ht="11.25" customHeight="1" thickBot="1" x14ac:dyDescent="0.25">
      <c r="A130" s="58" t="s">
        <v>44</v>
      </c>
      <c r="B130" s="47">
        <v>28</v>
      </c>
      <c r="C130" s="48" t="s">
        <v>321</v>
      </c>
      <c r="D130" s="49" t="s">
        <v>17</v>
      </c>
      <c r="E130" s="49" t="s">
        <v>46</v>
      </c>
      <c r="F130" s="49" t="s">
        <v>322</v>
      </c>
      <c r="G130" s="48" t="s">
        <v>91</v>
      </c>
      <c r="H130" s="48">
        <f>ROUND(1,3)</f>
        <v>1</v>
      </c>
      <c r="I130" s="48">
        <v>0</v>
      </c>
      <c r="J130" s="48">
        <f>ROUND(H130,3) * I130</f>
        <v>0</v>
      </c>
      <c r="K130" s="50"/>
      <c r="L130" s="51">
        <f>ROUND(ROUND(H130,3) * ROUND(K130,2),2)</f>
        <v>0</v>
      </c>
    </row>
    <row r="131" spans="1:12" x14ac:dyDescent="0.2">
      <c r="A131" s="58" t="s">
        <v>49</v>
      </c>
      <c r="B131" s="59"/>
      <c r="F131" s="53" t="s">
        <v>17</v>
      </c>
      <c r="L131" s="61"/>
    </row>
    <row r="132" spans="1:12" x14ac:dyDescent="0.2">
      <c r="A132" s="41" t="s">
        <v>51</v>
      </c>
      <c r="B132" s="59"/>
      <c r="F132" s="56" t="s">
        <v>17</v>
      </c>
      <c r="L132" s="61"/>
    </row>
    <row r="133" spans="1:12" ht="90.75" thickBot="1" x14ac:dyDescent="0.25">
      <c r="A133" s="58" t="s">
        <v>53</v>
      </c>
      <c r="B133" s="59"/>
      <c r="F133" s="57" t="s">
        <v>323</v>
      </c>
      <c r="L133" s="61"/>
    </row>
    <row r="134" spans="1:12" ht="11.25" customHeight="1" thickBot="1" x14ac:dyDescent="0.25">
      <c r="A134" s="58" t="s">
        <v>44</v>
      </c>
      <c r="B134" s="47">
        <v>29</v>
      </c>
      <c r="C134" s="48" t="s">
        <v>324</v>
      </c>
      <c r="D134" s="49" t="s">
        <v>17</v>
      </c>
      <c r="E134" s="49" t="s">
        <v>46</v>
      </c>
      <c r="F134" s="49" t="s">
        <v>325</v>
      </c>
      <c r="G134" s="48" t="s">
        <v>91</v>
      </c>
      <c r="H134" s="48">
        <f>ROUND(1,3)</f>
        <v>1</v>
      </c>
      <c r="I134" s="48">
        <v>0</v>
      </c>
      <c r="J134" s="48">
        <f>ROUND(H134,3) * I134</f>
        <v>0</v>
      </c>
      <c r="K134" s="50"/>
      <c r="L134" s="51">
        <f>ROUND(ROUND(H134,3) * ROUND(K134,2),2)</f>
        <v>0</v>
      </c>
    </row>
    <row r="135" spans="1:12" x14ac:dyDescent="0.2">
      <c r="A135" s="58" t="s">
        <v>49</v>
      </c>
      <c r="B135" s="59"/>
      <c r="F135" s="53" t="s">
        <v>17</v>
      </c>
      <c r="L135" s="61"/>
    </row>
    <row r="136" spans="1:12" x14ac:dyDescent="0.2">
      <c r="A136" s="41" t="s">
        <v>51</v>
      </c>
      <c r="B136" s="59"/>
      <c r="F136" s="56" t="s">
        <v>17</v>
      </c>
      <c r="L136" s="61"/>
    </row>
    <row r="137" spans="1:12" ht="113.25" thickBot="1" x14ac:dyDescent="0.25">
      <c r="A137" s="58" t="s">
        <v>53</v>
      </c>
      <c r="B137" s="59"/>
      <c r="F137" s="57" t="s">
        <v>326</v>
      </c>
      <c r="L137" s="61"/>
    </row>
    <row r="138" spans="1:12" ht="11.25" customHeight="1" thickBot="1" x14ac:dyDescent="0.25">
      <c r="A138" s="58" t="s">
        <v>44</v>
      </c>
      <c r="B138" s="47">
        <v>30</v>
      </c>
      <c r="C138" s="48" t="s">
        <v>327</v>
      </c>
      <c r="D138" s="49" t="s">
        <v>17</v>
      </c>
      <c r="E138" s="49" t="s">
        <v>46</v>
      </c>
      <c r="F138" s="49" t="s">
        <v>328</v>
      </c>
      <c r="G138" s="48" t="s">
        <v>91</v>
      </c>
      <c r="H138" s="48">
        <f>ROUND(1,3)</f>
        <v>1</v>
      </c>
      <c r="I138" s="48">
        <v>0</v>
      </c>
      <c r="J138" s="48">
        <f>ROUND(H138,3) * I138</f>
        <v>0</v>
      </c>
      <c r="K138" s="50"/>
      <c r="L138" s="51">
        <f>ROUND(ROUND(H138,3) * ROUND(K138,2),2)</f>
        <v>0</v>
      </c>
    </row>
    <row r="139" spans="1:12" x14ac:dyDescent="0.2">
      <c r="A139" s="58" t="s">
        <v>49</v>
      </c>
      <c r="B139" s="59"/>
      <c r="F139" s="53" t="s">
        <v>17</v>
      </c>
      <c r="L139" s="61"/>
    </row>
    <row r="140" spans="1:12" x14ac:dyDescent="0.2">
      <c r="A140" s="41" t="s">
        <v>51</v>
      </c>
      <c r="B140" s="59"/>
      <c r="F140" s="56" t="s">
        <v>52</v>
      </c>
      <c r="L140" s="61"/>
    </row>
    <row r="141" spans="1:12" ht="45.75" thickBot="1" x14ac:dyDescent="0.25">
      <c r="A141" s="58" t="s">
        <v>53</v>
      </c>
      <c r="B141" s="59"/>
      <c r="F141" s="57" t="s">
        <v>329</v>
      </c>
      <c r="L141" s="61"/>
    </row>
    <row r="142" spans="1:12" ht="11.25" customHeight="1" thickBot="1" x14ac:dyDescent="0.25">
      <c r="A142" s="58" t="s">
        <v>44</v>
      </c>
      <c r="B142" s="47">
        <v>31</v>
      </c>
      <c r="C142" s="48" t="s">
        <v>330</v>
      </c>
      <c r="D142" s="49" t="s">
        <v>17</v>
      </c>
      <c r="E142" s="49" t="s">
        <v>46</v>
      </c>
      <c r="F142" s="49" t="s">
        <v>331</v>
      </c>
      <c r="G142" s="48" t="s">
        <v>91</v>
      </c>
      <c r="H142" s="48">
        <f>ROUND(1,3)</f>
        <v>1</v>
      </c>
      <c r="I142" s="48">
        <v>0</v>
      </c>
      <c r="J142" s="48">
        <f>ROUND(H142,3) * I142</f>
        <v>0</v>
      </c>
      <c r="K142" s="50"/>
      <c r="L142" s="51">
        <f>ROUND(ROUND(H142,3) * ROUND(K142,2),2)</f>
        <v>0</v>
      </c>
    </row>
    <row r="143" spans="1:12" x14ac:dyDescent="0.2">
      <c r="A143" s="58" t="s">
        <v>49</v>
      </c>
      <c r="B143" s="59"/>
      <c r="F143" s="53" t="s">
        <v>17</v>
      </c>
      <c r="L143" s="61"/>
    </row>
    <row r="144" spans="1:12" x14ac:dyDescent="0.2">
      <c r="A144" s="41" t="s">
        <v>51</v>
      </c>
      <c r="B144" s="59"/>
      <c r="F144" s="56" t="s">
        <v>17</v>
      </c>
      <c r="L144" s="61"/>
    </row>
    <row r="145" spans="1:12" ht="57" thickBot="1" x14ac:dyDescent="0.25">
      <c r="A145" s="58" t="s">
        <v>53</v>
      </c>
      <c r="B145" s="59"/>
      <c r="F145" s="57" t="s">
        <v>332</v>
      </c>
      <c r="L145" s="61"/>
    </row>
    <row r="146" spans="1:12" ht="11.25" customHeight="1" thickBot="1" x14ac:dyDescent="0.25">
      <c r="A146" s="58" t="s">
        <v>44</v>
      </c>
      <c r="B146" s="47">
        <v>32</v>
      </c>
      <c r="C146" s="48" t="s">
        <v>333</v>
      </c>
      <c r="D146" s="49" t="s">
        <v>17</v>
      </c>
      <c r="E146" s="49" t="s">
        <v>46</v>
      </c>
      <c r="F146" s="49" t="s">
        <v>334</v>
      </c>
      <c r="G146" s="48" t="s">
        <v>91</v>
      </c>
      <c r="H146" s="48">
        <f>ROUND(1,3)</f>
        <v>1</v>
      </c>
      <c r="I146" s="48">
        <v>0</v>
      </c>
      <c r="J146" s="48">
        <f>ROUND(H146,3) * I146</f>
        <v>0</v>
      </c>
      <c r="K146" s="50"/>
      <c r="L146" s="51">
        <f>ROUND(ROUND(H146,3) * ROUND(K146,2),2)</f>
        <v>0</v>
      </c>
    </row>
    <row r="147" spans="1:12" x14ac:dyDescent="0.2">
      <c r="A147" s="58" t="s">
        <v>49</v>
      </c>
      <c r="B147" s="59"/>
      <c r="F147" s="53" t="s">
        <v>17</v>
      </c>
      <c r="L147" s="61"/>
    </row>
    <row r="148" spans="1:12" x14ac:dyDescent="0.2">
      <c r="A148" s="41" t="s">
        <v>51</v>
      </c>
      <c r="B148" s="59"/>
      <c r="F148" s="56" t="s">
        <v>17</v>
      </c>
      <c r="L148" s="61"/>
    </row>
    <row r="149" spans="1:12" ht="79.5" thickBot="1" x14ac:dyDescent="0.25">
      <c r="A149" s="58" t="s">
        <v>53</v>
      </c>
      <c r="B149" s="59"/>
      <c r="F149" s="57" t="s">
        <v>335</v>
      </c>
      <c r="L149" s="61"/>
    </row>
    <row r="150" spans="1:12" ht="11.25" customHeight="1" thickBot="1" x14ac:dyDescent="0.25">
      <c r="A150" s="58" t="s">
        <v>44</v>
      </c>
      <c r="B150" s="47">
        <v>33</v>
      </c>
      <c r="C150" s="48" t="s">
        <v>336</v>
      </c>
      <c r="D150" s="49" t="s">
        <v>17</v>
      </c>
      <c r="E150" s="49" t="s">
        <v>46</v>
      </c>
      <c r="F150" s="49" t="s">
        <v>337</v>
      </c>
      <c r="G150" s="48" t="s">
        <v>91</v>
      </c>
      <c r="H150" s="48">
        <f>ROUND(1,3)</f>
        <v>1</v>
      </c>
      <c r="I150" s="48">
        <v>0</v>
      </c>
      <c r="J150" s="48">
        <f>ROUND(H150,3) * I150</f>
        <v>0</v>
      </c>
      <c r="K150" s="50"/>
      <c r="L150" s="51">
        <f>ROUND(ROUND(H150,3) * ROUND(K150,2),2)</f>
        <v>0</v>
      </c>
    </row>
    <row r="151" spans="1:12" x14ac:dyDescent="0.2">
      <c r="A151" s="58" t="s">
        <v>49</v>
      </c>
      <c r="B151" s="59"/>
      <c r="F151" s="53" t="s">
        <v>17</v>
      </c>
      <c r="L151" s="61"/>
    </row>
    <row r="152" spans="1:12" x14ac:dyDescent="0.2">
      <c r="A152" s="41" t="s">
        <v>51</v>
      </c>
      <c r="B152" s="59"/>
      <c r="F152" s="56" t="s">
        <v>17</v>
      </c>
      <c r="L152" s="61"/>
    </row>
    <row r="153" spans="1:12" ht="79.5" thickBot="1" x14ac:dyDescent="0.25">
      <c r="A153" s="58" t="s">
        <v>53</v>
      </c>
      <c r="B153" s="59"/>
      <c r="F153" s="57" t="s">
        <v>335</v>
      </c>
      <c r="L153" s="61"/>
    </row>
    <row r="154" spans="1:12" ht="13.5" customHeight="1" thickBot="1" x14ac:dyDescent="0.25">
      <c r="B154" s="62" t="s">
        <v>58</v>
      </c>
      <c r="C154" s="63" t="s">
        <v>59</v>
      </c>
      <c r="D154" s="64"/>
      <c r="E154" s="64"/>
      <c r="F154" s="64" t="s">
        <v>152</v>
      </c>
      <c r="G154" s="64"/>
      <c r="H154" s="64"/>
      <c r="I154" s="64"/>
      <c r="J154" s="64"/>
      <c r="K154" s="64"/>
      <c r="L154" s="65">
        <f>SUM(L90:L153)</f>
        <v>0</v>
      </c>
    </row>
    <row r="155" spans="1:12" ht="20.100000000000001" customHeight="1" thickBot="1" x14ac:dyDescent="0.25">
      <c r="A155" s="58" t="s">
        <v>40</v>
      </c>
      <c r="B155" s="66" t="s">
        <v>41</v>
      </c>
      <c r="C155" s="43" t="s">
        <v>202</v>
      </c>
      <c r="D155" s="44"/>
      <c r="E155" s="44"/>
      <c r="F155" s="45" t="s">
        <v>203</v>
      </c>
      <c r="G155" s="44"/>
      <c r="H155" s="44"/>
      <c r="I155" s="44"/>
      <c r="J155" s="44"/>
      <c r="K155" s="44"/>
      <c r="L155" s="46"/>
    </row>
    <row r="156" spans="1:12" ht="11.25" customHeight="1" thickBot="1" x14ac:dyDescent="0.25">
      <c r="A156" s="58" t="s">
        <v>44</v>
      </c>
      <c r="B156" s="47">
        <v>34</v>
      </c>
      <c r="C156" s="48" t="s">
        <v>338</v>
      </c>
      <c r="D156" s="49" t="s">
        <v>17</v>
      </c>
      <c r="E156" s="49" t="s">
        <v>46</v>
      </c>
      <c r="F156" s="49" t="s">
        <v>339</v>
      </c>
      <c r="G156" s="48" t="s">
        <v>91</v>
      </c>
      <c r="H156" s="48">
        <f>ROUND(1,3)</f>
        <v>1</v>
      </c>
      <c r="I156" s="48">
        <v>0</v>
      </c>
      <c r="J156" s="48">
        <f>ROUND(H156,3) * I156</f>
        <v>0</v>
      </c>
      <c r="K156" s="50"/>
      <c r="L156" s="51">
        <f>ROUND(ROUND(H156,3) * ROUND(K156,2),2)</f>
        <v>0</v>
      </c>
    </row>
    <row r="157" spans="1:12" x14ac:dyDescent="0.2">
      <c r="A157" s="58" t="s">
        <v>49</v>
      </c>
      <c r="B157" s="59"/>
      <c r="F157" s="53" t="s">
        <v>17</v>
      </c>
      <c r="L157" s="61"/>
    </row>
    <row r="158" spans="1:12" x14ac:dyDescent="0.2">
      <c r="A158" s="41" t="s">
        <v>51</v>
      </c>
      <c r="B158" s="59"/>
      <c r="F158" s="56" t="s">
        <v>17</v>
      </c>
      <c r="L158" s="61"/>
    </row>
    <row r="159" spans="1:12" ht="124.5" thickBot="1" x14ac:dyDescent="0.25">
      <c r="A159" s="58" t="s">
        <v>53</v>
      </c>
      <c r="B159" s="59"/>
      <c r="F159" s="57" t="s">
        <v>340</v>
      </c>
      <c r="L159" s="61"/>
    </row>
    <row r="160" spans="1:12" ht="11.25" customHeight="1" thickBot="1" x14ac:dyDescent="0.25">
      <c r="A160" s="58" t="s">
        <v>44</v>
      </c>
      <c r="B160" s="47">
        <v>35</v>
      </c>
      <c r="C160" s="48" t="s">
        <v>341</v>
      </c>
      <c r="D160" s="49" t="s">
        <v>17</v>
      </c>
      <c r="E160" s="49" t="s">
        <v>46</v>
      </c>
      <c r="F160" s="49" t="s">
        <v>342</v>
      </c>
      <c r="G160" s="48" t="s">
        <v>91</v>
      </c>
      <c r="H160" s="48">
        <f>ROUND(1,3)</f>
        <v>1</v>
      </c>
      <c r="I160" s="48">
        <v>0</v>
      </c>
      <c r="J160" s="48">
        <f>ROUND(H160,3) * I160</f>
        <v>0</v>
      </c>
      <c r="K160" s="50"/>
      <c r="L160" s="51">
        <f>ROUND(ROUND(H160,3) * ROUND(K160,2),2)</f>
        <v>0</v>
      </c>
    </row>
    <row r="161" spans="1:12" x14ac:dyDescent="0.2">
      <c r="A161" s="58" t="s">
        <v>49</v>
      </c>
      <c r="B161" s="59"/>
      <c r="F161" s="53" t="s">
        <v>17</v>
      </c>
      <c r="L161" s="61"/>
    </row>
    <row r="162" spans="1:12" x14ac:dyDescent="0.2">
      <c r="A162" s="41" t="s">
        <v>51</v>
      </c>
      <c r="B162" s="59"/>
      <c r="F162" s="56" t="s">
        <v>17</v>
      </c>
      <c r="L162" s="61"/>
    </row>
    <row r="163" spans="1:12" ht="102" thickBot="1" x14ac:dyDescent="0.25">
      <c r="A163" s="58" t="s">
        <v>53</v>
      </c>
      <c r="B163" s="59"/>
      <c r="F163" s="57" t="s">
        <v>343</v>
      </c>
      <c r="L163" s="61"/>
    </row>
    <row r="164" spans="1:12" ht="11.25" customHeight="1" thickBot="1" x14ac:dyDescent="0.25">
      <c r="A164" s="58" t="s">
        <v>44</v>
      </c>
      <c r="B164" s="47">
        <v>36</v>
      </c>
      <c r="C164" s="48" t="s">
        <v>344</v>
      </c>
      <c r="D164" s="49" t="s">
        <v>17</v>
      </c>
      <c r="E164" s="49" t="s">
        <v>46</v>
      </c>
      <c r="F164" s="49" t="s">
        <v>345</v>
      </c>
      <c r="G164" s="48" t="s">
        <v>91</v>
      </c>
      <c r="H164" s="48">
        <f>ROUND(2,3)</f>
        <v>2</v>
      </c>
      <c r="I164" s="48">
        <v>0</v>
      </c>
      <c r="J164" s="48">
        <f>ROUND(H164,3) * I164</f>
        <v>0</v>
      </c>
      <c r="K164" s="50"/>
      <c r="L164" s="51">
        <f>ROUND(ROUND(H164,3) * ROUND(K164,2),2)</f>
        <v>0</v>
      </c>
    </row>
    <row r="165" spans="1:12" x14ac:dyDescent="0.2">
      <c r="A165" s="58" t="s">
        <v>49</v>
      </c>
      <c r="B165" s="59"/>
      <c r="F165" s="53" t="s">
        <v>17</v>
      </c>
      <c r="L165" s="61"/>
    </row>
    <row r="166" spans="1:12" x14ac:dyDescent="0.2">
      <c r="A166" s="41" t="s">
        <v>51</v>
      </c>
      <c r="B166" s="59"/>
      <c r="F166" s="56" t="s">
        <v>17</v>
      </c>
      <c r="L166" s="61"/>
    </row>
    <row r="167" spans="1:12" ht="113.25" thickBot="1" x14ac:dyDescent="0.25">
      <c r="A167" s="58" t="s">
        <v>53</v>
      </c>
      <c r="B167" s="59"/>
      <c r="F167" s="57" t="s">
        <v>346</v>
      </c>
      <c r="L167" s="61"/>
    </row>
    <row r="168" spans="1:12" ht="11.25" customHeight="1" thickBot="1" x14ac:dyDescent="0.25">
      <c r="A168" s="58" t="s">
        <v>44</v>
      </c>
      <c r="B168" s="47">
        <v>37</v>
      </c>
      <c r="C168" s="48" t="s">
        <v>347</v>
      </c>
      <c r="D168" s="49" t="s">
        <v>17</v>
      </c>
      <c r="E168" s="49" t="s">
        <v>46</v>
      </c>
      <c r="F168" s="49" t="s">
        <v>348</v>
      </c>
      <c r="G168" s="48" t="s">
        <v>91</v>
      </c>
      <c r="H168" s="48">
        <f>ROUND(2,3)</f>
        <v>2</v>
      </c>
      <c r="I168" s="48">
        <v>0</v>
      </c>
      <c r="J168" s="48">
        <f>ROUND(H168,3) * I168</f>
        <v>0</v>
      </c>
      <c r="K168" s="50"/>
      <c r="L168" s="51">
        <f>ROUND(ROUND(H168,3) * ROUND(K168,2),2)</f>
        <v>0</v>
      </c>
    </row>
    <row r="169" spans="1:12" x14ac:dyDescent="0.2">
      <c r="A169" s="58" t="s">
        <v>49</v>
      </c>
      <c r="B169" s="59"/>
      <c r="F169" s="53" t="s">
        <v>349</v>
      </c>
      <c r="L169" s="61"/>
    </row>
    <row r="170" spans="1:12" x14ac:dyDescent="0.2">
      <c r="A170" s="41" t="s">
        <v>51</v>
      </c>
      <c r="B170" s="59"/>
      <c r="F170" s="56" t="s">
        <v>17</v>
      </c>
      <c r="L170" s="61"/>
    </row>
    <row r="171" spans="1:12" ht="90.75" thickBot="1" x14ac:dyDescent="0.25">
      <c r="A171" s="58" t="s">
        <v>53</v>
      </c>
      <c r="B171" s="59"/>
      <c r="F171" s="57" t="s">
        <v>350</v>
      </c>
      <c r="L171" s="61"/>
    </row>
    <row r="172" spans="1:12" ht="11.25" customHeight="1" thickBot="1" x14ac:dyDescent="0.25">
      <c r="A172" s="58" t="s">
        <v>44</v>
      </c>
      <c r="B172" s="47">
        <v>38</v>
      </c>
      <c r="C172" s="48" t="s">
        <v>351</v>
      </c>
      <c r="D172" s="49" t="s">
        <v>17</v>
      </c>
      <c r="E172" s="49" t="s">
        <v>46</v>
      </c>
      <c r="F172" s="49" t="s">
        <v>352</v>
      </c>
      <c r="G172" s="48" t="s">
        <v>91</v>
      </c>
      <c r="H172" s="48">
        <f>ROUND(2,3)</f>
        <v>2</v>
      </c>
      <c r="I172" s="48">
        <v>0</v>
      </c>
      <c r="J172" s="48">
        <f>ROUND(H172,3) * I172</f>
        <v>0</v>
      </c>
      <c r="K172" s="50"/>
      <c r="L172" s="51">
        <f>ROUND(ROUND(H172,3) * ROUND(K172,2),2)</f>
        <v>0</v>
      </c>
    </row>
    <row r="173" spans="1:12" x14ac:dyDescent="0.2">
      <c r="A173" s="58" t="s">
        <v>49</v>
      </c>
      <c r="B173" s="59"/>
      <c r="F173" s="53" t="s">
        <v>17</v>
      </c>
      <c r="L173" s="61"/>
    </row>
    <row r="174" spans="1:12" x14ac:dyDescent="0.2">
      <c r="A174" s="41" t="s">
        <v>51</v>
      </c>
      <c r="B174" s="59"/>
      <c r="F174" s="56" t="s">
        <v>17</v>
      </c>
      <c r="L174" s="61"/>
    </row>
    <row r="175" spans="1:12" ht="124.5" thickBot="1" x14ac:dyDescent="0.25">
      <c r="A175" s="58" t="s">
        <v>53</v>
      </c>
      <c r="B175" s="59"/>
      <c r="F175" s="57" t="s">
        <v>353</v>
      </c>
      <c r="L175" s="61"/>
    </row>
    <row r="176" spans="1:12" ht="11.25" customHeight="1" thickBot="1" x14ac:dyDescent="0.25">
      <c r="A176" s="58" t="s">
        <v>44</v>
      </c>
      <c r="B176" s="47">
        <v>39</v>
      </c>
      <c r="C176" s="48" t="s">
        <v>354</v>
      </c>
      <c r="D176" s="49" t="s">
        <v>17</v>
      </c>
      <c r="E176" s="49" t="s">
        <v>46</v>
      </c>
      <c r="F176" s="49" t="s">
        <v>355</v>
      </c>
      <c r="G176" s="48" t="s">
        <v>91</v>
      </c>
      <c r="H176" s="48">
        <f>ROUND(1,3)</f>
        <v>1</v>
      </c>
      <c r="I176" s="48">
        <v>0</v>
      </c>
      <c r="J176" s="48">
        <f>ROUND(H176,3) * I176</f>
        <v>0</v>
      </c>
      <c r="K176" s="50"/>
      <c r="L176" s="51">
        <f>ROUND(ROUND(H176,3) * ROUND(K176,2),2)</f>
        <v>0</v>
      </c>
    </row>
    <row r="177" spans="1:12" x14ac:dyDescent="0.2">
      <c r="A177" s="58" t="s">
        <v>49</v>
      </c>
      <c r="B177" s="59"/>
      <c r="F177" s="53" t="s">
        <v>17</v>
      </c>
      <c r="L177" s="61"/>
    </row>
    <row r="178" spans="1:12" x14ac:dyDescent="0.2">
      <c r="A178" s="41" t="s">
        <v>51</v>
      </c>
      <c r="B178" s="59"/>
      <c r="F178" s="56" t="s">
        <v>17</v>
      </c>
      <c r="L178" s="61"/>
    </row>
    <row r="179" spans="1:12" ht="90.75" thickBot="1" x14ac:dyDescent="0.25">
      <c r="A179" s="58" t="s">
        <v>53</v>
      </c>
      <c r="B179" s="59"/>
      <c r="F179" s="57" t="s">
        <v>356</v>
      </c>
      <c r="L179" s="61"/>
    </row>
    <row r="180" spans="1:12" ht="11.25" customHeight="1" thickBot="1" x14ac:dyDescent="0.25">
      <c r="A180" s="58" t="s">
        <v>44</v>
      </c>
      <c r="B180" s="47">
        <v>40</v>
      </c>
      <c r="C180" s="48" t="s">
        <v>357</v>
      </c>
      <c r="D180" s="49" t="s">
        <v>17</v>
      </c>
      <c r="E180" s="49" t="s">
        <v>46</v>
      </c>
      <c r="F180" s="49" t="s">
        <v>358</v>
      </c>
      <c r="G180" s="48" t="s">
        <v>91</v>
      </c>
      <c r="H180" s="48">
        <f>ROUND(1,3)</f>
        <v>1</v>
      </c>
      <c r="I180" s="48">
        <v>0</v>
      </c>
      <c r="J180" s="48">
        <f>ROUND(H180,3) * I180</f>
        <v>0</v>
      </c>
      <c r="K180" s="50"/>
      <c r="L180" s="51">
        <f>ROUND(ROUND(H180,3) * ROUND(K180,2),2)</f>
        <v>0</v>
      </c>
    </row>
    <row r="181" spans="1:12" x14ac:dyDescent="0.2">
      <c r="A181" s="58" t="s">
        <v>49</v>
      </c>
      <c r="B181" s="59"/>
      <c r="F181" s="53" t="s">
        <v>17</v>
      </c>
      <c r="L181" s="61"/>
    </row>
    <row r="182" spans="1:12" x14ac:dyDescent="0.2">
      <c r="A182" s="41" t="s">
        <v>51</v>
      </c>
      <c r="B182" s="59"/>
      <c r="F182" s="56" t="s">
        <v>17</v>
      </c>
      <c r="L182" s="61"/>
    </row>
    <row r="183" spans="1:12" ht="90.75" thickBot="1" x14ac:dyDescent="0.25">
      <c r="A183" s="58" t="s">
        <v>53</v>
      </c>
      <c r="B183" s="59"/>
      <c r="F183" s="57" t="s">
        <v>359</v>
      </c>
      <c r="L183" s="61"/>
    </row>
    <row r="184" spans="1:12" ht="11.25" customHeight="1" thickBot="1" x14ac:dyDescent="0.25">
      <c r="A184" s="58" t="s">
        <v>44</v>
      </c>
      <c r="B184" s="47">
        <v>41</v>
      </c>
      <c r="C184" s="48" t="s">
        <v>360</v>
      </c>
      <c r="D184" s="49" t="s">
        <v>17</v>
      </c>
      <c r="E184" s="49" t="s">
        <v>46</v>
      </c>
      <c r="F184" s="49" t="s">
        <v>361</v>
      </c>
      <c r="G184" s="48" t="s">
        <v>91</v>
      </c>
      <c r="H184" s="48">
        <f>ROUND(1,3)</f>
        <v>1</v>
      </c>
      <c r="I184" s="48">
        <v>0</v>
      </c>
      <c r="J184" s="48">
        <f>ROUND(H184,3) * I184</f>
        <v>0</v>
      </c>
      <c r="K184" s="50"/>
      <c r="L184" s="51">
        <f>ROUND(ROUND(H184,3) * ROUND(K184,2),2)</f>
        <v>0</v>
      </c>
    </row>
    <row r="185" spans="1:12" x14ac:dyDescent="0.2">
      <c r="A185" s="58" t="s">
        <v>49</v>
      </c>
      <c r="B185" s="59"/>
      <c r="F185" s="53" t="s">
        <v>17</v>
      </c>
      <c r="L185" s="61"/>
    </row>
    <row r="186" spans="1:12" x14ac:dyDescent="0.2">
      <c r="A186" s="41" t="s">
        <v>51</v>
      </c>
      <c r="B186" s="59"/>
      <c r="F186" s="56" t="s">
        <v>17</v>
      </c>
      <c r="L186" s="61"/>
    </row>
    <row r="187" spans="1:12" ht="90.75" thickBot="1" x14ac:dyDescent="0.25">
      <c r="A187" s="58" t="s">
        <v>53</v>
      </c>
      <c r="B187" s="59"/>
      <c r="F187" s="57" t="s">
        <v>362</v>
      </c>
      <c r="L187" s="61"/>
    </row>
    <row r="188" spans="1:12" ht="11.25" customHeight="1" thickBot="1" x14ac:dyDescent="0.25">
      <c r="A188" s="58" t="s">
        <v>44</v>
      </c>
      <c r="B188" s="47">
        <v>42</v>
      </c>
      <c r="C188" s="48" t="s">
        <v>363</v>
      </c>
      <c r="D188" s="49" t="s">
        <v>17</v>
      </c>
      <c r="E188" s="49" t="s">
        <v>46</v>
      </c>
      <c r="F188" s="49" t="s">
        <v>364</v>
      </c>
      <c r="G188" s="48" t="s">
        <v>91</v>
      </c>
      <c r="H188" s="48">
        <f>ROUND(1,3)</f>
        <v>1</v>
      </c>
      <c r="I188" s="48">
        <v>0</v>
      </c>
      <c r="J188" s="48">
        <f>ROUND(H188,3) * I188</f>
        <v>0</v>
      </c>
      <c r="K188" s="50"/>
      <c r="L188" s="51">
        <f>ROUND(ROUND(H188,3) * ROUND(K188,2),2)</f>
        <v>0</v>
      </c>
    </row>
    <row r="189" spans="1:12" x14ac:dyDescent="0.2">
      <c r="A189" s="58" t="s">
        <v>49</v>
      </c>
      <c r="B189" s="59"/>
      <c r="F189" s="53" t="s">
        <v>17</v>
      </c>
      <c r="L189" s="61"/>
    </row>
    <row r="190" spans="1:12" x14ac:dyDescent="0.2">
      <c r="A190" s="41" t="s">
        <v>51</v>
      </c>
      <c r="B190" s="59"/>
      <c r="F190" s="56" t="s">
        <v>17</v>
      </c>
      <c r="L190" s="61"/>
    </row>
    <row r="191" spans="1:12" ht="79.5" thickBot="1" x14ac:dyDescent="0.25">
      <c r="A191" s="58" t="s">
        <v>53</v>
      </c>
      <c r="B191" s="59"/>
      <c r="F191" s="57" t="s">
        <v>365</v>
      </c>
      <c r="L191" s="61"/>
    </row>
    <row r="192" spans="1:12" ht="13.5" customHeight="1" thickBot="1" x14ac:dyDescent="0.25">
      <c r="B192" s="62" t="s">
        <v>58</v>
      </c>
      <c r="C192" s="63" t="s">
        <v>59</v>
      </c>
      <c r="D192" s="64"/>
      <c r="E192" s="64"/>
      <c r="F192" s="64" t="s">
        <v>203</v>
      </c>
      <c r="G192" s="64"/>
      <c r="H192" s="64"/>
      <c r="I192" s="64"/>
      <c r="J192" s="64"/>
      <c r="K192" s="64"/>
      <c r="L192" s="65">
        <f>SUM(L156:L191)</f>
        <v>0</v>
      </c>
    </row>
    <row r="193" spans="1:12" ht="20.100000000000001" customHeight="1" thickBot="1" x14ac:dyDescent="0.25">
      <c r="A193" s="58" t="s">
        <v>40</v>
      </c>
      <c r="B193" s="66" t="s">
        <v>41</v>
      </c>
      <c r="C193" s="43" t="s">
        <v>210</v>
      </c>
      <c r="D193" s="44"/>
      <c r="E193" s="44"/>
      <c r="F193" s="45" t="s">
        <v>211</v>
      </c>
      <c r="G193" s="44"/>
      <c r="H193" s="44"/>
      <c r="I193" s="44"/>
      <c r="J193" s="44"/>
      <c r="K193" s="44"/>
      <c r="L193" s="46"/>
    </row>
    <row r="194" spans="1:12" ht="11.25" customHeight="1" thickBot="1" x14ac:dyDescent="0.25">
      <c r="A194" s="58" t="s">
        <v>44</v>
      </c>
      <c r="B194" s="47">
        <v>43</v>
      </c>
      <c r="C194" s="48" t="s">
        <v>212</v>
      </c>
      <c r="D194" s="49" t="s">
        <v>17</v>
      </c>
      <c r="E194" s="49" t="s">
        <v>46</v>
      </c>
      <c r="F194" s="49" t="s">
        <v>213</v>
      </c>
      <c r="G194" s="48" t="s">
        <v>214</v>
      </c>
      <c r="H194" s="48">
        <f>ROUND(20,3)</f>
        <v>20</v>
      </c>
      <c r="I194" s="48">
        <v>0</v>
      </c>
      <c r="J194" s="48">
        <f>ROUND(H194,3) * I194</f>
        <v>0</v>
      </c>
      <c r="K194" s="50"/>
      <c r="L194" s="51">
        <f>ROUND(ROUND(H194,3) * ROUND(K194,2),2)</f>
        <v>0</v>
      </c>
    </row>
    <row r="195" spans="1:12" x14ac:dyDescent="0.2">
      <c r="A195" s="58" t="s">
        <v>49</v>
      </c>
      <c r="B195" s="59"/>
      <c r="F195" s="53" t="s">
        <v>17</v>
      </c>
      <c r="L195" s="61"/>
    </row>
    <row r="196" spans="1:12" x14ac:dyDescent="0.2">
      <c r="A196" s="41" t="s">
        <v>51</v>
      </c>
      <c r="B196" s="59"/>
      <c r="F196" s="56" t="s">
        <v>17</v>
      </c>
      <c r="L196" s="61"/>
    </row>
    <row r="197" spans="1:12" ht="90.75" thickBot="1" x14ac:dyDescent="0.25">
      <c r="A197" s="58" t="s">
        <v>53</v>
      </c>
      <c r="B197" s="59"/>
      <c r="F197" s="57" t="s">
        <v>215</v>
      </c>
      <c r="L197" s="61"/>
    </row>
    <row r="198" spans="1:12" ht="11.25" customHeight="1" thickBot="1" x14ac:dyDescent="0.25">
      <c r="A198" s="58" t="s">
        <v>44</v>
      </c>
      <c r="B198" s="47">
        <v>44</v>
      </c>
      <c r="C198" s="48" t="s">
        <v>216</v>
      </c>
      <c r="D198" s="49" t="s">
        <v>17</v>
      </c>
      <c r="E198" s="49" t="s">
        <v>46</v>
      </c>
      <c r="F198" s="49" t="s">
        <v>217</v>
      </c>
      <c r="G198" s="48" t="s">
        <v>214</v>
      </c>
      <c r="H198" s="48">
        <f>ROUND(40,3)</f>
        <v>40</v>
      </c>
      <c r="I198" s="48">
        <v>0</v>
      </c>
      <c r="J198" s="48">
        <f>ROUND(H198,3) * I198</f>
        <v>0</v>
      </c>
      <c r="K198" s="50"/>
      <c r="L198" s="51">
        <f>ROUND(ROUND(H198,3) * ROUND(K198,2),2)</f>
        <v>0</v>
      </c>
    </row>
    <row r="199" spans="1:12" x14ac:dyDescent="0.2">
      <c r="A199" s="58" t="s">
        <v>49</v>
      </c>
      <c r="B199" s="59"/>
      <c r="F199" s="53" t="s">
        <v>17</v>
      </c>
      <c r="L199" s="61"/>
    </row>
    <row r="200" spans="1:12" x14ac:dyDescent="0.2">
      <c r="A200" s="41" t="s">
        <v>51</v>
      </c>
      <c r="B200" s="59"/>
      <c r="F200" s="56" t="s">
        <v>17</v>
      </c>
      <c r="L200" s="61"/>
    </row>
    <row r="201" spans="1:12" ht="90.75" thickBot="1" x14ac:dyDescent="0.25">
      <c r="A201" s="58" t="s">
        <v>53</v>
      </c>
      <c r="B201" s="59"/>
      <c r="F201" s="57" t="s">
        <v>218</v>
      </c>
      <c r="L201" s="61"/>
    </row>
    <row r="202" spans="1:12" ht="11.25" customHeight="1" thickBot="1" x14ac:dyDescent="0.25">
      <c r="A202" s="58" t="s">
        <v>44</v>
      </c>
      <c r="B202" s="47">
        <v>45</v>
      </c>
      <c r="C202" s="48" t="s">
        <v>366</v>
      </c>
      <c r="D202" s="49" t="s">
        <v>17</v>
      </c>
      <c r="E202" s="49" t="s">
        <v>46</v>
      </c>
      <c r="F202" s="49" t="s">
        <v>367</v>
      </c>
      <c r="G202" s="48" t="s">
        <v>91</v>
      </c>
      <c r="H202" s="48">
        <f>ROUND(1,3)</f>
        <v>1</v>
      </c>
      <c r="I202" s="48">
        <v>0</v>
      </c>
      <c r="J202" s="48">
        <f>ROUND(H202,3) * I202</f>
        <v>0</v>
      </c>
      <c r="K202" s="50"/>
      <c r="L202" s="51">
        <f>ROUND(ROUND(H202,3) * ROUND(K202,2),2)</f>
        <v>0</v>
      </c>
    </row>
    <row r="203" spans="1:12" x14ac:dyDescent="0.2">
      <c r="A203" s="58" t="s">
        <v>49</v>
      </c>
      <c r="B203" s="59"/>
      <c r="F203" s="53" t="s">
        <v>17</v>
      </c>
      <c r="L203" s="61"/>
    </row>
    <row r="204" spans="1:12" x14ac:dyDescent="0.2">
      <c r="A204" s="41" t="s">
        <v>51</v>
      </c>
      <c r="B204" s="59"/>
      <c r="F204" s="56" t="s">
        <v>17</v>
      </c>
      <c r="L204" s="61"/>
    </row>
    <row r="205" spans="1:12" ht="90.75" thickBot="1" x14ac:dyDescent="0.25">
      <c r="A205" s="58" t="s">
        <v>53</v>
      </c>
      <c r="B205" s="59"/>
      <c r="F205" s="57" t="s">
        <v>368</v>
      </c>
      <c r="L205" s="61"/>
    </row>
    <row r="206" spans="1:12" ht="11.25" customHeight="1" thickBot="1" x14ac:dyDescent="0.25">
      <c r="A206" s="58" t="s">
        <v>44</v>
      </c>
      <c r="B206" s="47">
        <v>46</v>
      </c>
      <c r="C206" s="48" t="s">
        <v>219</v>
      </c>
      <c r="D206" s="49" t="s">
        <v>17</v>
      </c>
      <c r="E206" s="49" t="s">
        <v>46</v>
      </c>
      <c r="F206" s="49" t="s">
        <v>220</v>
      </c>
      <c r="G206" s="48" t="s">
        <v>214</v>
      </c>
      <c r="H206" s="48">
        <f>ROUND(40,3)</f>
        <v>40</v>
      </c>
      <c r="I206" s="48">
        <v>0</v>
      </c>
      <c r="J206" s="48">
        <f>ROUND(H206,3) * I206</f>
        <v>0</v>
      </c>
      <c r="K206" s="50"/>
      <c r="L206" s="51">
        <f>ROUND(ROUND(H206,3) * ROUND(K206,2),2)</f>
        <v>0</v>
      </c>
    </row>
    <row r="207" spans="1:12" x14ac:dyDescent="0.2">
      <c r="A207" s="58" t="s">
        <v>49</v>
      </c>
      <c r="B207" s="59"/>
      <c r="F207" s="53" t="s">
        <v>17</v>
      </c>
      <c r="L207" s="61"/>
    </row>
    <row r="208" spans="1:12" x14ac:dyDescent="0.2">
      <c r="A208" s="41" t="s">
        <v>51</v>
      </c>
      <c r="B208" s="59"/>
      <c r="F208" s="56" t="s">
        <v>17</v>
      </c>
      <c r="L208" s="61"/>
    </row>
    <row r="209" spans="1:12" ht="102" thickBot="1" x14ac:dyDescent="0.25">
      <c r="A209" s="58" t="s">
        <v>53</v>
      </c>
      <c r="B209" s="59"/>
      <c r="F209" s="57" t="s">
        <v>221</v>
      </c>
      <c r="L209" s="61"/>
    </row>
    <row r="210" spans="1:12" ht="11.25" customHeight="1" thickBot="1" x14ac:dyDescent="0.25">
      <c r="A210" s="58" t="s">
        <v>44</v>
      </c>
      <c r="B210" s="47">
        <v>47</v>
      </c>
      <c r="C210" s="48" t="s">
        <v>222</v>
      </c>
      <c r="D210" s="49" t="s">
        <v>17</v>
      </c>
      <c r="E210" s="49" t="s">
        <v>46</v>
      </c>
      <c r="F210" s="49" t="s">
        <v>223</v>
      </c>
      <c r="G210" s="48" t="s">
        <v>91</v>
      </c>
      <c r="H210" s="48">
        <f>ROUND(1,3)</f>
        <v>1</v>
      </c>
      <c r="I210" s="48">
        <v>0</v>
      </c>
      <c r="J210" s="48">
        <f>ROUND(H210,3) * I210</f>
        <v>0</v>
      </c>
      <c r="K210" s="50"/>
      <c r="L210" s="51">
        <f>ROUND(ROUND(H210,3) * ROUND(K210,2),2)</f>
        <v>0</v>
      </c>
    </row>
    <row r="211" spans="1:12" x14ac:dyDescent="0.2">
      <c r="A211" s="58" t="s">
        <v>49</v>
      </c>
      <c r="B211" s="59"/>
      <c r="F211" s="53" t="s">
        <v>17</v>
      </c>
      <c r="L211" s="61"/>
    </row>
    <row r="212" spans="1:12" x14ac:dyDescent="0.2">
      <c r="A212" s="41" t="s">
        <v>51</v>
      </c>
      <c r="B212" s="59"/>
      <c r="F212" s="56" t="s">
        <v>17</v>
      </c>
      <c r="L212" s="61"/>
    </row>
    <row r="213" spans="1:12" ht="68.25" thickBot="1" x14ac:dyDescent="0.25">
      <c r="A213" s="58" t="s">
        <v>53</v>
      </c>
      <c r="B213" s="59"/>
      <c r="F213" s="57" t="s">
        <v>369</v>
      </c>
      <c r="L213" s="61"/>
    </row>
    <row r="214" spans="1:12" ht="13.5" customHeight="1" thickBot="1" x14ac:dyDescent="0.25">
      <c r="B214" s="62" t="s">
        <v>58</v>
      </c>
      <c r="C214" s="63" t="s">
        <v>59</v>
      </c>
      <c r="D214" s="64"/>
      <c r="E214" s="64"/>
      <c r="F214" s="64" t="s">
        <v>211</v>
      </c>
      <c r="G214" s="64"/>
      <c r="H214" s="64"/>
      <c r="I214" s="64"/>
      <c r="J214" s="64"/>
      <c r="K214" s="64"/>
      <c r="L214" s="65">
        <f>SUM(L194:L213)</f>
        <v>0</v>
      </c>
    </row>
    <row r="215" spans="1:12" ht="20.100000000000001" customHeight="1" thickBot="1" x14ac:dyDescent="0.25">
      <c r="A215" s="58" t="s">
        <v>40</v>
      </c>
      <c r="B215" s="66" t="s">
        <v>41</v>
      </c>
      <c r="C215" s="43" t="s">
        <v>225</v>
      </c>
      <c r="D215" s="44"/>
      <c r="E215" s="44"/>
      <c r="F215" s="45" t="s">
        <v>226</v>
      </c>
      <c r="G215" s="44"/>
      <c r="H215" s="44"/>
      <c r="I215" s="44"/>
      <c r="J215" s="44"/>
      <c r="K215" s="44"/>
      <c r="L215" s="46"/>
    </row>
    <row r="216" spans="1:12" ht="11.25" customHeight="1" thickBot="1" x14ac:dyDescent="0.25">
      <c r="A216" s="58" t="s">
        <v>44</v>
      </c>
      <c r="B216" s="47">
        <v>48</v>
      </c>
      <c r="C216" s="48" t="s">
        <v>227</v>
      </c>
      <c r="D216" s="49" t="s">
        <v>17</v>
      </c>
      <c r="E216" s="49" t="s">
        <v>46</v>
      </c>
      <c r="F216" s="49" t="s">
        <v>228</v>
      </c>
      <c r="G216" s="48" t="s">
        <v>69</v>
      </c>
      <c r="H216" s="48">
        <f>ROUND(10,3)</f>
        <v>10</v>
      </c>
      <c r="I216" s="48">
        <v>0</v>
      </c>
      <c r="J216" s="48">
        <f>ROUND(H216,3) * I216</f>
        <v>0</v>
      </c>
      <c r="K216" s="50"/>
      <c r="L216" s="51">
        <f>ROUND(ROUND(H216,3) * ROUND(K216,2),2)</f>
        <v>0</v>
      </c>
    </row>
    <row r="217" spans="1:12" x14ac:dyDescent="0.2">
      <c r="A217" s="58" t="s">
        <v>49</v>
      </c>
      <c r="B217" s="59"/>
      <c r="F217" s="53" t="s">
        <v>17</v>
      </c>
      <c r="L217" s="61"/>
    </row>
    <row r="218" spans="1:12" x14ac:dyDescent="0.2">
      <c r="A218" s="41" t="s">
        <v>51</v>
      </c>
      <c r="B218" s="59"/>
      <c r="F218" s="56" t="s">
        <v>280</v>
      </c>
      <c r="L218" s="61"/>
    </row>
    <row r="219" spans="1:12" ht="102" thickBot="1" x14ac:dyDescent="0.25">
      <c r="A219" s="58" t="s">
        <v>53</v>
      </c>
      <c r="B219" s="59"/>
      <c r="F219" s="57" t="s">
        <v>230</v>
      </c>
      <c r="L219" s="61"/>
    </row>
    <row r="220" spans="1:12" ht="11.25" customHeight="1" thickBot="1" x14ac:dyDescent="0.25">
      <c r="A220" s="58" t="s">
        <v>44</v>
      </c>
      <c r="B220" s="47">
        <v>49</v>
      </c>
      <c r="C220" s="48" t="s">
        <v>370</v>
      </c>
      <c r="D220" s="49" t="s">
        <v>17</v>
      </c>
      <c r="E220" s="49" t="s">
        <v>46</v>
      </c>
      <c r="F220" s="49" t="s">
        <v>371</v>
      </c>
      <c r="G220" s="48" t="s">
        <v>233</v>
      </c>
      <c r="H220" s="48">
        <f>ROUND(0.05,3)</f>
        <v>0.05</v>
      </c>
      <c r="I220" s="48">
        <v>0</v>
      </c>
      <c r="J220" s="48">
        <f>ROUND(H220,3) * I220</f>
        <v>0</v>
      </c>
      <c r="K220" s="50"/>
      <c r="L220" s="51">
        <f>ROUND(ROUND(H220,3) * ROUND(K220,2),2)</f>
        <v>0</v>
      </c>
    </row>
    <row r="221" spans="1:12" x14ac:dyDescent="0.2">
      <c r="A221" s="58" t="s">
        <v>49</v>
      </c>
      <c r="B221" s="59"/>
      <c r="F221" s="53" t="s">
        <v>17</v>
      </c>
      <c r="L221" s="61"/>
    </row>
    <row r="222" spans="1:12" ht="22.5" x14ac:dyDescent="0.2">
      <c r="A222" s="41" t="s">
        <v>51</v>
      </c>
      <c r="B222" s="59"/>
      <c r="F222" s="56" t="s">
        <v>372</v>
      </c>
      <c r="L222" s="61"/>
    </row>
    <row r="223" spans="1:12" ht="124.5" thickBot="1" x14ac:dyDescent="0.25">
      <c r="A223" s="58" t="s">
        <v>53</v>
      </c>
      <c r="B223" s="59"/>
      <c r="F223" s="57" t="s">
        <v>373</v>
      </c>
      <c r="L223" s="61"/>
    </row>
    <row r="224" spans="1:12" ht="11.25" customHeight="1" thickBot="1" x14ac:dyDescent="0.25">
      <c r="A224" s="58" t="s">
        <v>44</v>
      </c>
      <c r="B224" s="47">
        <v>50</v>
      </c>
      <c r="C224" s="48" t="s">
        <v>374</v>
      </c>
      <c r="D224" s="49" t="s">
        <v>17</v>
      </c>
      <c r="E224" s="49" t="s">
        <v>46</v>
      </c>
      <c r="F224" s="49" t="s">
        <v>375</v>
      </c>
      <c r="G224" s="48" t="s">
        <v>91</v>
      </c>
      <c r="H224" s="48">
        <f>ROUND(1,3)</f>
        <v>1</v>
      </c>
      <c r="I224" s="48">
        <v>0</v>
      </c>
      <c r="J224" s="48">
        <f>ROUND(H224,3) * I224</f>
        <v>0</v>
      </c>
      <c r="K224" s="50"/>
      <c r="L224" s="51">
        <f>ROUND(ROUND(H224,3) * ROUND(K224,2),2)</f>
        <v>0</v>
      </c>
    </row>
    <row r="225" spans="1:12" x14ac:dyDescent="0.2">
      <c r="A225" s="58" t="s">
        <v>49</v>
      </c>
      <c r="B225" s="59"/>
      <c r="F225" s="53" t="s">
        <v>376</v>
      </c>
      <c r="L225" s="61"/>
    </row>
    <row r="226" spans="1:12" x14ac:dyDescent="0.2">
      <c r="A226" s="41" t="s">
        <v>51</v>
      </c>
      <c r="B226" s="59"/>
      <c r="F226" s="56" t="s">
        <v>17</v>
      </c>
      <c r="L226" s="61"/>
    </row>
    <row r="227" spans="1:12" ht="135.75" thickBot="1" x14ac:dyDescent="0.25">
      <c r="A227" s="58" t="s">
        <v>53</v>
      </c>
      <c r="B227" s="59"/>
      <c r="F227" s="57" t="s">
        <v>254</v>
      </c>
      <c r="L227" s="61"/>
    </row>
    <row r="228" spans="1:12" ht="11.25" customHeight="1" thickBot="1" x14ac:dyDescent="0.25">
      <c r="A228" s="58" t="s">
        <v>44</v>
      </c>
      <c r="B228" s="47">
        <v>51</v>
      </c>
      <c r="C228" s="48" t="s">
        <v>377</v>
      </c>
      <c r="D228" s="49" t="s">
        <v>17</v>
      </c>
      <c r="E228" s="49" t="s">
        <v>46</v>
      </c>
      <c r="F228" s="49" t="s">
        <v>378</v>
      </c>
      <c r="G228" s="48" t="s">
        <v>91</v>
      </c>
      <c r="H228" s="48">
        <f>ROUND(1,3)</f>
        <v>1</v>
      </c>
      <c r="I228" s="48">
        <v>0</v>
      </c>
      <c r="J228" s="48">
        <f>ROUND(H228,3) * I228</f>
        <v>0</v>
      </c>
      <c r="K228" s="50"/>
      <c r="L228" s="51">
        <f>ROUND(ROUND(H228,3) * ROUND(K228,2),2)</f>
        <v>0</v>
      </c>
    </row>
    <row r="229" spans="1:12" x14ac:dyDescent="0.2">
      <c r="A229" s="58" t="s">
        <v>49</v>
      </c>
      <c r="B229" s="59"/>
      <c r="F229" s="53" t="s">
        <v>17</v>
      </c>
      <c r="L229" s="61"/>
    </row>
    <row r="230" spans="1:12" x14ac:dyDescent="0.2">
      <c r="A230" s="41" t="s">
        <v>51</v>
      </c>
      <c r="B230" s="59"/>
      <c r="F230" s="56" t="s">
        <v>17</v>
      </c>
      <c r="L230" s="61"/>
    </row>
    <row r="231" spans="1:12" ht="102" thickBot="1" x14ac:dyDescent="0.25">
      <c r="A231" s="58" t="s">
        <v>53</v>
      </c>
      <c r="B231" s="59"/>
      <c r="F231" s="57" t="s">
        <v>251</v>
      </c>
      <c r="L231" s="61"/>
    </row>
    <row r="232" spans="1:12" ht="11.25" customHeight="1" thickBot="1" x14ac:dyDescent="0.25">
      <c r="A232" s="58" t="s">
        <v>44</v>
      </c>
      <c r="B232" s="47">
        <v>52</v>
      </c>
      <c r="C232" s="48" t="s">
        <v>379</v>
      </c>
      <c r="D232" s="49" t="s">
        <v>17</v>
      </c>
      <c r="E232" s="49" t="s">
        <v>46</v>
      </c>
      <c r="F232" s="49" t="s">
        <v>380</v>
      </c>
      <c r="G232" s="48" t="s">
        <v>91</v>
      </c>
      <c r="H232" s="48">
        <f>ROUND(1,3)</f>
        <v>1</v>
      </c>
      <c r="I232" s="48">
        <v>0</v>
      </c>
      <c r="J232" s="48">
        <f>ROUND(H232,3) * I232</f>
        <v>0</v>
      </c>
      <c r="K232" s="50"/>
      <c r="L232" s="51">
        <f>ROUND(ROUND(H232,3) * ROUND(K232,2),2)</f>
        <v>0</v>
      </c>
    </row>
    <row r="233" spans="1:12" x14ac:dyDescent="0.2">
      <c r="A233" s="58" t="s">
        <v>49</v>
      </c>
      <c r="B233" s="59"/>
      <c r="F233" s="53" t="s">
        <v>17</v>
      </c>
      <c r="L233" s="61"/>
    </row>
    <row r="234" spans="1:12" x14ac:dyDescent="0.2">
      <c r="A234" s="41" t="s">
        <v>51</v>
      </c>
      <c r="B234" s="59"/>
      <c r="F234" s="56" t="s">
        <v>17</v>
      </c>
      <c r="L234" s="61"/>
    </row>
    <row r="235" spans="1:12" ht="90.75" thickBot="1" x14ac:dyDescent="0.25">
      <c r="A235" s="58" t="s">
        <v>53</v>
      </c>
      <c r="B235" s="59"/>
      <c r="F235" s="57" t="s">
        <v>381</v>
      </c>
      <c r="L235" s="61"/>
    </row>
    <row r="236" spans="1:12" ht="11.25" customHeight="1" thickBot="1" x14ac:dyDescent="0.25">
      <c r="A236" s="58" t="s">
        <v>44</v>
      </c>
      <c r="B236" s="47">
        <v>53</v>
      </c>
      <c r="C236" s="48" t="s">
        <v>249</v>
      </c>
      <c r="D236" s="49" t="s">
        <v>17</v>
      </c>
      <c r="E236" s="49" t="s">
        <v>46</v>
      </c>
      <c r="F236" s="49" t="s">
        <v>250</v>
      </c>
      <c r="G236" s="48" t="s">
        <v>91</v>
      </c>
      <c r="H236" s="48">
        <f>ROUND(2,3)</f>
        <v>2</v>
      </c>
      <c r="I236" s="48">
        <v>0</v>
      </c>
      <c r="J236" s="48">
        <f>ROUND(H236,3) * I236</f>
        <v>0</v>
      </c>
      <c r="K236" s="50"/>
      <c r="L236" s="51">
        <f>ROUND(ROUND(H236,3) * ROUND(K236,2),2)</f>
        <v>0</v>
      </c>
    </row>
    <row r="237" spans="1:12" x14ac:dyDescent="0.2">
      <c r="A237" s="58" t="s">
        <v>49</v>
      </c>
      <c r="B237" s="59"/>
      <c r="F237" s="53" t="s">
        <v>17</v>
      </c>
      <c r="L237" s="61"/>
    </row>
    <row r="238" spans="1:12" x14ac:dyDescent="0.2">
      <c r="A238" s="41" t="s">
        <v>51</v>
      </c>
      <c r="B238" s="59"/>
      <c r="F238" s="56" t="s">
        <v>17</v>
      </c>
      <c r="L238" s="61"/>
    </row>
    <row r="239" spans="1:12" ht="102" thickBot="1" x14ac:dyDescent="0.25">
      <c r="A239" s="58" t="s">
        <v>53</v>
      </c>
      <c r="B239" s="59"/>
      <c r="F239" s="57" t="s">
        <v>251</v>
      </c>
      <c r="L239" s="61"/>
    </row>
    <row r="240" spans="1:12" ht="11.25" customHeight="1" thickBot="1" x14ac:dyDescent="0.25">
      <c r="A240" s="58" t="s">
        <v>44</v>
      </c>
      <c r="B240" s="47">
        <v>54</v>
      </c>
      <c r="C240" s="48" t="s">
        <v>252</v>
      </c>
      <c r="D240" s="49" t="s">
        <v>17</v>
      </c>
      <c r="E240" s="49" t="s">
        <v>46</v>
      </c>
      <c r="F240" s="49" t="s">
        <v>253</v>
      </c>
      <c r="G240" s="48" t="s">
        <v>91</v>
      </c>
      <c r="H240" s="48">
        <f>ROUND(2,3)</f>
        <v>2</v>
      </c>
      <c r="I240" s="48">
        <v>0</v>
      </c>
      <c r="J240" s="48">
        <f>ROUND(H240,3) * I240</f>
        <v>0</v>
      </c>
      <c r="K240" s="50"/>
      <c r="L240" s="51">
        <f>ROUND(ROUND(H240,3) * ROUND(K240,2),2)</f>
        <v>0</v>
      </c>
    </row>
    <row r="241" spans="1:12" x14ac:dyDescent="0.2">
      <c r="A241" s="58" t="s">
        <v>49</v>
      </c>
      <c r="B241" s="59"/>
      <c r="F241" s="53" t="s">
        <v>17</v>
      </c>
      <c r="L241" s="61"/>
    </row>
    <row r="242" spans="1:12" x14ac:dyDescent="0.2">
      <c r="A242" s="41" t="s">
        <v>51</v>
      </c>
      <c r="B242" s="59"/>
      <c r="F242" s="56" t="s">
        <v>17</v>
      </c>
      <c r="L242" s="61"/>
    </row>
    <row r="243" spans="1:12" ht="135.75" thickBot="1" x14ac:dyDescent="0.25">
      <c r="A243" s="58" t="s">
        <v>53</v>
      </c>
      <c r="B243" s="59"/>
      <c r="F243" s="57" t="s">
        <v>254</v>
      </c>
      <c r="L243" s="61"/>
    </row>
    <row r="244" spans="1:12" ht="11.25" customHeight="1" thickBot="1" x14ac:dyDescent="0.25">
      <c r="A244" s="58" t="s">
        <v>44</v>
      </c>
      <c r="B244" s="47">
        <v>55</v>
      </c>
      <c r="C244" s="48" t="s">
        <v>255</v>
      </c>
      <c r="D244" s="49" t="s">
        <v>17</v>
      </c>
      <c r="E244" s="49" t="s">
        <v>46</v>
      </c>
      <c r="F244" s="49" t="s">
        <v>256</v>
      </c>
      <c r="G244" s="48" t="s">
        <v>91</v>
      </c>
      <c r="H244" s="48">
        <f>ROUND(2,3)</f>
        <v>2</v>
      </c>
      <c r="I244" s="48">
        <v>0</v>
      </c>
      <c r="J244" s="48">
        <f>ROUND(H244,3) * I244</f>
        <v>0</v>
      </c>
      <c r="K244" s="50"/>
      <c r="L244" s="51">
        <f>ROUND(ROUND(H244,3) * ROUND(K244,2),2)</f>
        <v>0</v>
      </c>
    </row>
    <row r="245" spans="1:12" x14ac:dyDescent="0.2">
      <c r="A245" s="58" t="s">
        <v>49</v>
      </c>
      <c r="B245" s="59"/>
      <c r="F245" s="53" t="s">
        <v>17</v>
      </c>
      <c r="L245" s="61"/>
    </row>
    <row r="246" spans="1:12" x14ac:dyDescent="0.2">
      <c r="A246" s="41" t="s">
        <v>51</v>
      </c>
      <c r="B246" s="59"/>
      <c r="F246" s="56" t="s">
        <v>257</v>
      </c>
      <c r="L246" s="61"/>
    </row>
    <row r="247" spans="1:12" ht="90.75" thickBot="1" x14ac:dyDescent="0.25">
      <c r="A247" s="58" t="s">
        <v>53</v>
      </c>
      <c r="B247" s="59"/>
      <c r="F247" s="57" t="s">
        <v>258</v>
      </c>
      <c r="L247" s="61"/>
    </row>
    <row r="248" spans="1:12" ht="11.25" customHeight="1" thickBot="1" x14ac:dyDescent="0.25">
      <c r="A248" s="58" t="s">
        <v>44</v>
      </c>
      <c r="B248" s="47">
        <v>56</v>
      </c>
      <c r="C248" s="48" t="s">
        <v>259</v>
      </c>
      <c r="D248" s="49" t="s">
        <v>17</v>
      </c>
      <c r="E248" s="49" t="s">
        <v>46</v>
      </c>
      <c r="F248" s="49" t="s">
        <v>260</v>
      </c>
      <c r="G248" s="48" t="s">
        <v>91</v>
      </c>
      <c r="H248" s="48">
        <f>ROUND(5,3)</f>
        <v>5</v>
      </c>
      <c r="I248" s="48">
        <v>0</v>
      </c>
      <c r="J248" s="48">
        <f>ROUND(H248,3) * I248</f>
        <v>0</v>
      </c>
      <c r="K248" s="50"/>
      <c r="L248" s="51">
        <f>ROUND(ROUND(H248,3) * ROUND(K248,2),2)</f>
        <v>0</v>
      </c>
    </row>
    <row r="249" spans="1:12" x14ac:dyDescent="0.2">
      <c r="A249" s="58" t="s">
        <v>49</v>
      </c>
      <c r="B249" s="59"/>
      <c r="F249" s="53" t="s">
        <v>17</v>
      </c>
      <c r="L249" s="61"/>
    </row>
    <row r="250" spans="1:12" x14ac:dyDescent="0.2">
      <c r="A250" s="41" t="s">
        <v>51</v>
      </c>
      <c r="B250" s="59"/>
      <c r="F250" s="56" t="s">
        <v>17</v>
      </c>
      <c r="L250" s="61"/>
    </row>
    <row r="251" spans="1:12" ht="113.25" thickBot="1" x14ac:dyDescent="0.25">
      <c r="A251" s="58" t="s">
        <v>53</v>
      </c>
      <c r="B251" s="59"/>
      <c r="F251" s="57" t="s">
        <v>261</v>
      </c>
      <c r="L251" s="61"/>
    </row>
    <row r="252" spans="1:12" ht="13.5" customHeight="1" thickBot="1" x14ac:dyDescent="0.25">
      <c r="B252" s="62" t="s">
        <v>58</v>
      </c>
      <c r="C252" s="63" t="s">
        <v>59</v>
      </c>
      <c r="D252" s="64"/>
      <c r="E252" s="64"/>
      <c r="F252" s="64" t="s">
        <v>226</v>
      </c>
      <c r="G252" s="64"/>
      <c r="H252" s="64"/>
      <c r="I252" s="64"/>
      <c r="J252" s="64"/>
      <c r="K252" s="64"/>
      <c r="L252" s="65">
        <f>SUM(L216:L251)</f>
        <v>0</v>
      </c>
    </row>
    <row r="253" spans="1:12" ht="20.100000000000001" customHeight="1" thickBot="1" x14ac:dyDescent="0.25">
      <c r="A253" s="58" t="s">
        <v>40</v>
      </c>
      <c r="B253" s="66" t="s">
        <v>41</v>
      </c>
      <c r="C253" s="43" t="s">
        <v>382</v>
      </c>
      <c r="D253" s="44"/>
      <c r="E253" s="44"/>
      <c r="F253" s="45" t="s">
        <v>383</v>
      </c>
      <c r="G253" s="44"/>
      <c r="H253" s="44"/>
      <c r="I253" s="44"/>
      <c r="J253" s="44"/>
      <c r="K253" s="44"/>
      <c r="L253" s="46"/>
    </row>
    <row r="254" spans="1:12" ht="11.25" customHeight="1" thickBot="1" x14ac:dyDescent="0.25">
      <c r="A254" s="58" t="s">
        <v>44</v>
      </c>
      <c r="B254" s="47">
        <v>57</v>
      </c>
      <c r="C254" s="48" t="s">
        <v>384</v>
      </c>
      <c r="D254" s="49" t="s">
        <v>17</v>
      </c>
      <c r="E254" s="49" t="s">
        <v>46</v>
      </c>
      <c r="F254" s="49" t="s">
        <v>385</v>
      </c>
      <c r="G254" s="48" t="s">
        <v>91</v>
      </c>
      <c r="H254" s="48">
        <f>ROUND(4,3)</f>
        <v>4</v>
      </c>
      <c r="I254" s="48">
        <v>0</v>
      </c>
      <c r="J254" s="48">
        <f>ROUND(H254,3) * I254</f>
        <v>0</v>
      </c>
      <c r="K254" s="50"/>
      <c r="L254" s="51">
        <f>ROUND(ROUND(H254,3) * ROUND(K254,2),2)</f>
        <v>0</v>
      </c>
    </row>
    <row r="255" spans="1:12" x14ac:dyDescent="0.2">
      <c r="A255" s="58" t="s">
        <v>49</v>
      </c>
      <c r="B255" s="59"/>
      <c r="F255" s="53" t="s">
        <v>17</v>
      </c>
      <c r="L255" s="61"/>
    </row>
    <row r="256" spans="1:12" x14ac:dyDescent="0.2">
      <c r="A256" s="41" t="s">
        <v>51</v>
      </c>
      <c r="B256" s="59"/>
      <c r="F256" s="56" t="s">
        <v>17</v>
      </c>
      <c r="L256" s="61"/>
    </row>
    <row r="257" spans="1:12" ht="12" thickBot="1" x14ac:dyDescent="0.25">
      <c r="A257" s="58" t="s">
        <v>53</v>
      </c>
      <c r="B257" s="59"/>
      <c r="F257" s="57" t="s">
        <v>386</v>
      </c>
      <c r="L257" s="61"/>
    </row>
    <row r="258" spans="1:12" ht="11.25" customHeight="1" thickBot="1" x14ac:dyDescent="0.25">
      <c r="A258" s="58" t="s">
        <v>44</v>
      </c>
      <c r="B258" s="47">
        <v>58</v>
      </c>
      <c r="C258" s="48" t="s">
        <v>387</v>
      </c>
      <c r="D258" s="49" t="s">
        <v>17</v>
      </c>
      <c r="E258" s="49" t="s">
        <v>46</v>
      </c>
      <c r="F258" s="49" t="s">
        <v>388</v>
      </c>
      <c r="G258" s="48" t="s">
        <v>91</v>
      </c>
      <c r="H258" s="48">
        <f>ROUND(8,3)</f>
        <v>8</v>
      </c>
      <c r="I258" s="48">
        <v>0</v>
      </c>
      <c r="J258" s="48">
        <f>ROUND(H258,3) * I258</f>
        <v>0</v>
      </c>
      <c r="K258" s="50"/>
      <c r="L258" s="51">
        <f>ROUND(ROUND(H258,3) * ROUND(K258,2),2)</f>
        <v>0</v>
      </c>
    </row>
    <row r="259" spans="1:12" x14ac:dyDescent="0.2">
      <c r="A259" s="58" t="s">
        <v>49</v>
      </c>
      <c r="B259" s="59"/>
      <c r="F259" s="53" t="s">
        <v>17</v>
      </c>
      <c r="L259" s="61"/>
    </row>
    <row r="260" spans="1:12" x14ac:dyDescent="0.2">
      <c r="A260" s="41" t="s">
        <v>51</v>
      </c>
      <c r="B260" s="59"/>
      <c r="F260" s="56" t="s">
        <v>17</v>
      </c>
      <c r="L260" s="61"/>
    </row>
    <row r="261" spans="1:12" ht="23.25" thickBot="1" x14ac:dyDescent="0.25">
      <c r="A261" s="58" t="s">
        <v>53</v>
      </c>
      <c r="B261" s="59"/>
      <c r="F261" s="57" t="s">
        <v>389</v>
      </c>
      <c r="L261" s="61"/>
    </row>
    <row r="262" spans="1:12" ht="11.25" customHeight="1" thickBot="1" x14ac:dyDescent="0.25">
      <c r="A262" s="58" t="s">
        <v>44</v>
      </c>
      <c r="B262" s="47">
        <v>59</v>
      </c>
      <c r="C262" s="48" t="s">
        <v>390</v>
      </c>
      <c r="D262" s="49" t="s">
        <v>17</v>
      </c>
      <c r="E262" s="49" t="s">
        <v>46</v>
      </c>
      <c r="F262" s="49" t="s">
        <v>391</v>
      </c>
      <c r="G262" s="48" t="s">
        <v>392</v>
      </c>
      <c r="H262" s="48">
        <f>ROUND(1,3)</f>
        <v>1</v>
      </c>
      <c r="I262" s="48">
        <v>0</v>
      </c>
      <c r="J262" s="48">
        <f>ROUND(H262,3) * I262</f>
        <v>0</v>
      </c>
      <c r="K262" s="50"/>
      <c r="L262" s="51">
        <f>ROUND(ROUND(H262,3) * ROUND(K262,2),2)</f>
        <v>0</v>
      </c>
    </row>
    <row r="263" spans="1:12" x14ac:dyDescent="0.2">
      <c r="A263" s="58" t="s">
        <v>49</v>
      </c>
      <c r="B263" s="59"/>
      <c r="F263" s="53" t="s">
        <v>17</v>
      </c>
      <c r="L263" s="61"/>
    </row>
    <row r="264" spans="1:12" x14ac:dyDescent="0.2">
      <c r="A264" s="41" t="s">
        <v>51</v>
      </c>
      <c r="B264" s="59"/>
      <c r="F264" s="56" t="s">
        <v>17</v>
      </c>
      <c r="L264" s="61"/>
    </row>
    <row r="265" spans="1:12" ht="23.25" thickBot="1" x14ac:dyDescent="0.25">
      <c r="A265" s="58" t="s">
        <v>53</v>
      </c>
      <c r="B265" s="59"/>
      <c r="F265" s="57" t="s">
        <v>393</v>
      </c>
      <c r="L265" s="61"/>
    </row>
    <row r="266" spans="1:12" ht="13.5" customHeight="1" thickBot="1" x14ac:dyDescent="0.25">
      <c r="B266" s="62" t="s">
        <v>58</v>
      </c>
      <c r="C266" s="63" t="s">
        <v>59</v>
      </c>
      <c r="D266" s="64"/>
      <c r="E266" s="64"/>
      <c r="F266" s="64" t="s">
        <v>383</v>
      </c>
      <c r="G266" s="64"/>
      <c r="H266" s="64"/>
      <c r="I266" s="64"/>
      <c r="J266" s="64"/>
      <c r="K266" s="64"/>
      <c r="L266" s="65">
        <f>SUM(L254:L265)</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204" priority="1">
      <formula>$E$5="Ostatní"</formula>
    </cfRule>
    <cfRule type="expression" dxfId="203"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576C51F2-9964-40D7-833D-DDAC2DBBFDDE}"/>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1246C0BA-DB08-4F33-AE9D-6B2F6C128815}">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AFCC48E3-275B-4A1B-BA78-65D4E9DDD02F}">
      <formula1>42370</formula1>
      <formula2>55153</formula2>
    </dataValidation>
    <dataValidation allowBlank="1" showInputMessage="1" showErrorMessage="1" promptTitle="S-kód" prompt="Číslo pod kterým je stavba evidovaná v systému SŽDC." sqref="K6" xr:uid="{A1D8542C-8326-4308-A1E1-083B5FCC9303}"/>
    <dataValidation type="date" allowBlank="1" showInputMessage="1" showErrorMessage="1" errorTitle="Špatný datum" error="Datum musí být v rozmezí_x000a_od 1.1.2016_x000a_do 31.12.2050" promptTitle="Vložit datum" prompt="ve formátu: dd.mm.rrrr" sqref="K8" xr:uid="{25DF5A3F-AFAD-4D30-981C-C1C86B3D5D2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B35CE8AE-AF08-4577-918E-67AE921FF6A7}">
      <formula1>"801,802,803,811,812, 813, 814,815, 817, 821,822, 823,824,825,826,827,828,831,832,833,838,839"</formula1>
    </dataValidation>
    <dataValidation type="list" allowBlank="1" showInputMessage="1" showErrorMessage="1" promptTitle="Výběr stádia dle seznamu:" prompt="Stádium 3_x000a_Stádium 2" sqref="E5" xr:uid="{BFB305F0-A0EE-4F02-A0B0-F14E15D795E6}">
      <formula1>"Stádium 2,Stádium 3"</formula1>
    </dataValidation>
    <dataValidation type="date" allowBlank="1" showInputMessage="1" showErrorMessage="1" sqref="L8" xr:uid="{4F264B51-980D-4629-8536-BD0A8F824D10}">
      <formula1>42370</formula1>
      <formula2>55153</formula2>
    </dataValidation>
    <dataValidation type="list" allowBlank="1" showInputMessage="1" showErrorMessage="1" sqref="E6" xr:uid="{B36F297D-47F6-4EEF-837F-E3AF07A5F376}">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63BBE-4754-4ADF-86F7-4DBEA1E74014}">
  <sheetPr codeName="List3">
    <pageSetUpPr fitToPage="1"/>
  </sheetPr>
  <dimension ref="A1:O196"/>
  <sheetViews>
    <sheetView showGridLines="0" topLeftCell="B1" zoomScale="85" zoomScaleNormal="85" zoomScaleSheetLayoutView="85" workbookViewId="0">
      <pane ySplit="12" topLeftCell="A184" activePane="bottomLeft" state="frozen"/>
      <selection activeCell="B1" sqref="B1"/>
      <selection pane="bottomLeft" activeCell="K14" sqref="K14:K196"/>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394</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394</v>
      </c>
      <c r="E3" s="79"/>
      <c r="F3" s="80" t="s">
        <v>395</v>
      </c>
      <c r="G3" s="81"/>
      <c r="H3" s="82"/>
      <c r="I3" s="83"/>
      <c r="J3" s="84"/>
      <c r="K3" s="248"/>
      <c r="L3" s="249"/>
    </row>
    <row r="4" spans="1:15" s="67" customFormat="1" ht="18" customHeight="1" thickTop="1" x14ac:dyDescent="0.25">
      <c r="B4" s="256" t="s">
        <v>8</v>
      </c>
      <c r="C4" s="245"/>
      <c r="D4" s="253"/>
      <c r="E4" s="85" t="s">
        <v>9</v>
      </c>
      <c r="F4" s="86" t="str">
        <f>INDEX('[3]Kategorie monitoringu'!A1:B34,MATCH(E4,'[3]Kategorie monitoringu'!A1:A34,0),2)</f>
        <v>Zabezpečovací zařízení</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42</v>
      </c>
      <c r="D13" s="110"/>
      <c r="E13" s="110"/>
      <c r="F13" s="111" t="s">
        <v>43</v>
      </c>
      <c r="G13" s="110"/>
      <c r="H13" s="110"/>
      <c r="I13" s="110"/>
      <c r="J13" s="110"/>
      <c r="K13" s="110"/>
      <c r="L13" s="112"/>
    </row>
    <row r="14" spans="1:15" s="107" customFormat="1" ht="11.25" customHeight="1" thickBot="1" x14ac:dyDescent="0.3">
      <c r="A14" s="107" t="s">
        <v>44</v>
      </c>
      <c r="B14" s="113">
        <v>1</v>
      </c>
      <c r="C14" s="114" t="s">
        <v>45</v>
      </c>
      <c r="D14" s="115" t="s">
        <v>17</v>
      </c>
      <c r="E14" s="115" t="s">
        <v>46</v>
      </c>
      <c r="F14" s="115" t="s">
        <v>47</v>
      </c>
      <c r="G14" s="114" t="s">
        <v>48</v>
      </c>
      <c r="H14" s="114">
        <f>ROUND(1,3)</f>
        <v>1</v>
      </c>
      <c r="I14" s="114">
        <v>0</v>
      </c>
      <c r="J14" s="114">
        <f>ROUND(H14,3) * I14</f>
        <v>0</v>
      </c>
      <c r="K14" s="116"/>
      <c r="L14" s="117">
        <f>ROUND(ROUND(H14,3) * ROUND(K14,2),2)</f>
        <v>0</v>
      </c>
    </row>
    <row r="15" spans="1:15" s="107" customFormat="1" x14ac:dyDescent="0.25">
      <c r="A15" s="107" t="s">
        <v>49</v>
      </c>
      <c r="B15" s="118"/>
      <c r="F15" s="119" t="s">
        <v>17</v>
      </c>
      <c r="G15" s="120"/>
      <c r="H15" s="120"/>
      <c r="I15" s="120"/>
      <c r="J15" s="120"/>
      <c r="K15" s="120"/>
      <c r="L15" s="121"/>
    </row>
    <row r="16" spans="1:15" s="107" customFormat="1" x14ac:dyDescent="0.25">
      <c r="A16" s="107" t="s">
        <v>51</v>
      </c>
      <c r="B16" s="118"/>
      <c r="F16" s="122" t="s">
        <v>17</v>
      </c>
      <c r="G16" s="120"/>
      <c r="H16" s="120"/>
      <c r="I16" s="120"/>
      <c r="J16" s="120"/>
      <c r="K16" s="120"/>
      <c r="L16" s="121"/>
    </row>
    <row r="17" spans="1:12" s="107" customFormat="1" ht="12" thickBot="1" x14ac:dyDescent="0.3">
      <c r="A17" s="107" t="s">
        <v>53</v>
      </c>
      <c r="B17" s="118"/>
      <c r="F17" s="123" t="s">
        <v>268</v>
      </c>
      <c r="G17" s="120"/>
      <c r="H17" s="120"/>
      <c r="I17" s="120"/>
      <c r="J17" s="120"/>
      <c r="K17" s="120"/>
      <c r="L17" s="121"/>
    </row>
    <row r="18" spans="1:12" ht="11.25" customHeight="1" thickBot="1" x14ac:dyDescent="0.25">
      <c r="A18" s="124" t="s">
        <v>44</v>
      </c>
      <c r="B18" s="113">
        <v>2</v>
      </c>
      <c r="C18" s="114" t="s">
        <v>55</v>
      </c>
      <c r="D18" s="115" t="s">
        <v>17</v>
      </c>
      <c r="E18" s="115" t="s">
        <v>46</v>
      </c>
      <c r="F18" s="115" t="s">
        <v>56</v>
      </c>
      <c r="G18" s="114" t="s">
        <v>48</v>
      </c>
      <c r="H18" s="114">
        <f>ROUND(1,3)</f>
        <v>1</v>
      </c>
      <c r="I18" s="114">
        <v>0</v>
      </c>
      <c r="J18" s="114">
        <f>ROUND(H18,3) * I18</f>
        <v>0</v>
      </c>
      <c r="K18" s="116"/>
      <c r="L18" s="117">
        <f>ROUND(ROUND(H18,3) * ROUND(K18,2),2)</f>
        <v>0</v>
      </c>
    </row>
    <row r="19" spans="1:12" x14ac:dyDescent="0.2">
      <c r="A19" s="124" t="s">
        <v>49</v>
      </c>
      <c r="B19" s="125"/>
      <c r="F19" s="119" t="s">
        <v>17</v>
      </c>
      <c r="L19" s="127"/>
    </row>
    <row r="20" spans="1:12" x14ac:dyDescent="0.2">
      <c r="A20" s="107" t="s">
        <v>51</v>
      </c>
      <c r="B20" s="125"/>
      <c r="F20" s="122" t="s">
        <v>17</v>
      </c>
      <c r="L20" s="127"/>
    </row>
    <row r="21" spans="1:12" ht="12" thickBot="1" x14ac:dyDescent="0.25">
      <c r="A21" s="124" t="s">
        <v>53</v>
      </c>
      <c r="B21" s="125"/>
      <c r="F21" s="123" t="s">
        <v>57</v>
      </c>
      <c r="L21" s="127"/>
    </row>
    <row r="22" spans="1:12" ht="13.5" customHeight="1" thickBot="1" x14ac:dyDescent="0.25">
      <c r="B22" s="128" t="s">
        <v>58</v>
      </c>
      <c r="C22" s="129" t="s">
        <v>59</v>
      </c>
      <c r="D22" s="130"/>
      <c r="E22" s="130"/>
      <c r="F22" s="130" t="s">
        <v>43</v>
      </c>
      <c r="G22" s="130"/>
      <c r="H22" s="130"/>
      <c r="I22" s="130"/>
      <c r="J22" s="130"/>
      <c r="K22" s="130"/>
      <c r="L22" s="131">
        <f>SUM(L14:L21)</f>
        <v>0</v>
      </c>
    </row>
    <row r="23" spans="1:12" ht="20.100000000000001" customHeight="1" thickBot="1" x14ac:dyDescent="0.25">
      <c r="A23" s="124" t="s">
        <v>40</v>
      </c>
      <c r="B23" s="132" t="s">
        <v>41</v>
      </c>
      <c r="C23" s="109" t="s">
        <v>60</v>
      </c>
      <c r="D23" s="110"/>
      <c r="E23" s="110"/>
      <c r="F23" s="111" t="s">
        <v>61</v>
      </c>
      <c r="G23" s="110"/>
      <c r="H23" s="110"/>
      <c r="I23" s="110"/>
      <c r="J23" s="110"/>
      <c r="K23" s="110"/>
      <c r="L23" s="112"/>
    </row>
    <row r="24" spans="1:12" ht="11.25" customHeight="1" thickBot="1" x14ac:dyDescent="0.25">
      <c r="A24" s="124" t="s">
        <v>44</v>
      </c>
      <c r="B24" s="113">
        <v>3</v>
      </c>
      <c r="C24" s="114" t="s">
        <v>269</v>
      </c>
      <c r="D24" s="115" t="s">
        <v>17</v>
      </c>
      <c r="E24" s="115" t="s">
        <v>46</v>
      </c>
      <c r="F24" s="115" t="s">
        <v>270</v>
      </c>
      <c r="G24" s="114" t="s">
        <v>64</v>
      </c>
      <c r="H24" s="114">
        <f>ROUND(0.75,3)</f>
        <v>0.75</v>
      </c>
      <c r="I24" s="114">
        <v>0</v>
      </c>
      <c r="J24" s="114">
        <f>ROUND(H24,3) * I24</f>
        <v>0</v>
      </c>
      <c r="K24" s="116"/>
      <c r="L24" s="117">
        <f>ROUND(ROUND(H24,3) * ROUND(K24,2),2)</f>
        <v>0</v>
      </c>
    </row>
    <row r="25" spans="1:12" x14ac:dyDescent="0.2">
      <c r="A25" s="124" t="s">
        <v>49</v>
      </c>
      <c r="B25" s="125"/>
      <c r="F25" s="119" t="s">
        <v>17</v>
      </c>
      <c r="L25" s="127"/>
    </row>
    <row r="26" spans="1:12" x14ac:dyDescent="0.2">
      <c r="A26" s="107" t="s">
        <v>51</v>
      </c>
      <c r="B26" s="125"/>
      <c r="F26" s="122" t="s">
        <v>396</v>
      </c>
      <c r="L26" s="127"/>
    </row>
    <row r="27" spans="1:12" ht="270.75" thickBot="1" x14ac:dyDescent="0.25">
      <c r="A27" s="124" t="s">
        <v>53</v>
      </c>
      <c r="B27" s="125"/>
      <c r="F27" s="123" t="s">
        <v>66</v>
      </c>
      <c r="L27" s="127"/>
    </row>
    <row r="28" spans="1:12" ht="11.25" customHeight="1" thickBot="1" x14ac:dyDescent="0.25">
      <c r="A28" s="124" t="s">
        <v>44</v>
      </c>
      <c r="B28" s="113">
        <v>4</v>
      </c>
      <c r="C28" s="114" t="s">
        <v>79</v>
      </c>
      <c r="D28" s="115" t="s">
        <v>17</v>
      </c>
      <c r="E28" s="115" t="s">
        <v>46</v>
      </c>
      <c r="F28" s="115" t="s">
        <v>80</v>
      </c>
      <c r="G28" s="114" t="s">
        <v>81</v>
      </c>
      <c r="H28" s="114">
        <f>ROUND(5,3)</f>
        <v>5</v>
      </c>
      <c r="I28" s="114">
        <v>0</v>
      </c>
      <c r="J28" s="114">
        <f>ROUND(H28,3) * I28</f>
        <v>0</v>
      </c>
      <c r="K28" s="116"/>
      <c r="L28" s="117">
        <f>ROUND(ROUND(H28,3) * ROUND(K28,2),2)</f>
        <v>0</v>
      </c>
    </row>
    <row r="29" spans="1:12" x14ac:dyDescent="0.2">
      <c r="A29" s="124" t="s">
        <v>49</v>
      </c>
      <c r="B29" s="125"/>
      <c r="F29" s="119" t="s">
        <v>17</v>
      </c>
      <c r="L29" s="127"/>
    </row>
    <row r="30" spans="1:12" x14ac:dyDescent="0.2">
      <c r="A30" s="107" t="s">
        <v>51</v>
      </c>
      <c r="B30" s="125"/>
      <c r="F30" s="122" t="s">
        <v>273</v>
      </c>
      <c r="L30" s="127"/>
    </row>
    <row r="31" spans="1:12" ht="12" thickBot="1" x14ac:dyDescent="0.25">
      <c r="A31" s="124" t="s">
        <v>53</v>
      </c>
      <c r="B31" s="125"/>
      <c r="F31" s="123" t="s">
        <v>83</v>
      </c>
      <c r="L31" s="127"/>
    </row>
    <row r="32" spans="1:12" ht="13.5" customHeight="1" thickBot="1" x14ac:dyDescent="0.25">
      <c r="B32" s="128" t="s">
        <v>58</v>
      </c>
      <c r="C32" s="129" t="s">
        <v>59</v>
      </c>
      <c r="D32" s="130"/>
      <c r="E32" s="130"/>
      <c r="F32" s="130" t="s">
        <v>61</v>
      </c>
      <c r="G32" s="130"/>
      <c r="H32" s="130"/>
      <c r="I32" s="130"/>
      <c r="J32" s="130"/>
      <c r="K32" s="130"/>
      <c r="L32" s="131">
        <f>SUM(L24:L31)</f>
        <v>0</v>
      </c>
    </row>
    <row r="33" spans="1:12" ht="20.100000000000001" customHeight="1" thickBot="1" x14ac:dyDescent="0.25">
      <c r="A33" s="124" t="s">
        <v>40</v>
      </c>
      <c r="B33" s="132" t="s">
        <v>41</v>
      </c>
      <c r="C33" s="109" t="s">
        <v>119</v>
      </c>
      <c r="D33" s="110"/>
      <c r="E33" s="110"/>
      <c r="F33" s="111" t="s">
        <v>120</v>
      </c>
      <c r="G33" s="110"/>
      <c r="H33" s="110"/>
      <c r="I33" s="110"/>
      <c r="J33" s="110"/>
      <c r="K33" s="110"/>
      <c r="L33" s="112"/>
    </row>
    <row r="34" spans="1:12" ht="11.25" customHeight="1" thickBot="1" x14ac:dyDescent="0.25">
      <c r="A34" s="124" t="s">
        <v>44</v>
      </c>
      <c r="B34" s="113">
        <v>5</v>
      </c>
      <c r="C34" s="114" t="s">
        <v>116</v>
      </c>
      <c r="D34" s="115" t="s">
        <v>17</v>
      </c>
      <c r="E34" s="115" t="s">
        <v>46</v>
      </c>
      <c r="F34" s="115" t="s">
        <v>117</v>
      </c>
      <c r="G34" s="114" t="s">
        <v>91</v>
      </c>
      <c r="H34" s="114">
        <f>ROUND(8,3)</f>
        <v>8</v>
      </c>
      <c r="I34" s="114">
        <v>0</v>
      </c>
      <c r="J34" s="114">
        <f>ROUND(H34,3) * I34</f>
        <v>0</v>
      </c>
      <c r="K34" s="116"/>
      <c r="L34" s="117">
        <f>ROUND(ROUND(H34,3) * ROUND(K34,2),2)</f>
        <v>0</v>
      </c>
    </row>
    <row r="35" spans="1:12" x14ac:dyDescent="0.2">
      <c r="A35" s="124" t="s">
        <v>49</v>
      </c>
      <c r="B35" s="125"/>
      <c r="F35" s="119" t="s">
        <v>17</v>
      </c>
      <c r="L35" s="127"/>
    </row>
    <row r="36" spans="1:12" x14ac:dyDescent="0.2">
      <c r="A36" s="107" t="s">
        <v>51</v>
      </c>
      <c r="B36" s="125"/>
      <c r="F36" s="122" t="s">
        <v>17</v>
      </c>
      <c r="L36" s="127"/>
    </row>
    <row r="37" spans="1:12" ht="90.75" thickBot="1" x14ac:dyDescent="0.25">
      <c r="A37" s="124" t="s">
        <v>53</v>
      </c>
      <c r="B37" s="125"/>
      <c r="F37" s="123" t="s">
        <v>274</v>
      </c>
      <c r="L37" s="127"/>
    </row>
    <row r="38" spans="1:12" ht="11.25" customHeight="1" thickBot="1" x14ac:dyDescent="0.25">
      <c r="A38" s="124" t="s">
        <v>44</v>
      </c>
      <c r="B38" s="113">
        <v>6</v>
      </c>
      <c r="C38" s="114" t="s">
        <v>275</v>
      </c>
      <c r="D38" s="115" t="s">
        <v>17</v>
      </c>
      <c r="E38" s="115" t="s">
        <v>46</v>
      </c>
      <c r="F38" s="115" t="s">
        <v>276</v>
      </c>
      <c r="G38" s="114" t="s">
        <v>69</v>
      </c>
      <c r="H38" s="114">
        <f>ROUND(10,3)</f>
        <v>10</v>
      </c>
      <c r="I38" s="114">
        <v>0</v>
      </c>
      <c r="J38" s="114">
        <f>ROUND(H38,3) * I38</f>
        <v>0</v>
      </c>
      <c r="K38" s="116"/>
      <c r="L38" s="117">
        <f>ROUND(ROUND(H38,3) * ROUND(K38,2),2)</f>
        <v>0</v>
      </c>
    </row>
    <row r="39" spans="1:12" x14ac:dyDescent="0.2">
      <c r="A39" s="124" t="s">
        <v>49</v>
      </c>
      <c r="B39" s="125"/>
      <c r="F39" s="119" t="s">
        <v>17</v>
      </c>
      <c r="L39" s="127"/>
    </row>
    <row r="40" spans="1:12" x14ac:dyDescent="0.2">
      <c r="A40" s="107" t="s">
        <v>51</v>
      </c>
      <c r="B40" s="125"/>
      <c r="F40" s="122" t="s">
        <v>17</v>
      </c>
      <c r="L40" s="127"/>
    </row>
    <row r="41" spans="1:12" ht="68.25" thickBot="1" x14ac:dyDescent="0.25">
      <c r="A41" s="124" t="s">
        <v>53</v>
      </c>
      <c r="B41" s="125"/>
      <c r="F41" s="123" t="s">
        <v>277</v>
      </c>
      <c r="L41" s="127"/>
    </row>
    <row r="42" spans="1:12" ht="11.25" customHeight="1" thickBot="1" x14ac:dyDescent="0.25">
      <c r="A42" s="124" t="s">
        <v>44</v>
      </c>
      <c r="B42" s="113">
        <v>7</v>
      </c>
      <c r="C42" s="114" t="s">
        <v>281</v>
      </c>
      <c r="D42" s="115" t="s">
        <v>17</v>
      </c>
      <c r="E42" s="115" t="s">
        <v>46</v>
      </c>
      <c r="F42" s="115" t="s">
        <v>282</v>
      </c>
      <c r="G42" s="114" t="s">
        <v>69</v>
      </c>
      <c r="H42" s="114">
        <f>ROUND(120,3)</f>
        <v>120</v>
      </c>
      <c r="I42" s="114">
        <v>0</v>
      </c>
      <c r="J42" s="114">
        <f>ROUND(H42,3) * I42</f>
        <v>0</v>
      </c>
      <c r="K42" s="116"/>
      <c r="L42" s="117">
        <f>ROUND(ROUND(H42,3) * ROUND(K42,2),2)</f>
        <v>0</v>
      </c>
    </row>
    <row r="43" spans="1:12" x14ac:dyDescent="0.2">
      <c r="A43" s="124" t="s">
        <v>49</v>
      </c>
      <c r="B43" s="125"/>
      <c r="F43" s="119" t="s">
        <v>17</v>
      </c>
      <c r="L43" s="127"/>
    </row>
    <row r="44" spans="1:12" x14ac:dyDescent="0.2">
      <c r="A44" s="107" t="s">
        <v>51</v>
      </c>
      <c r="B44" s="125"/>
      <c r="F44" s="122" t="s">
        <v>397</v>
      </c>
      <c r="L44" s="127"/>
    </row>
    <row r="45" spans="1:12" ht="68.25" thickBot="1" x14ac:dyDescent="0.25">
      <c r="A45" s="124" t="s">
        <v>53</v>
      </c>
      <c r="B45" s="125"/>
      <c r="F45" s="123" t="s">
        <v>277</v>
      </c>
      <c r="L45" s="127"/>
    </row>
    <row r="46" spans="1:12" ht="11.25" customHeight="1" thickBot="1" x14ac:dyDescent="0.25">
      <c r="A46" s="124" t="s">
        <v>44</v>
      </c>
      <c r="B46" s="113">
        <v>8</v>
      </c>
      <c r="C46" s="114" t="s">
        <v>284</v>
      </c>
      <c r="D46" s="115" t="s">
        <v>17</v>
      </c>
      <c r="E46" s="115" t="s">
        <v>46</v>
      </c>
      <c r="F46" s="115" t="s">
        <v>285</v>
      </c>
      <c r="G46" s="114" t="s">
        <v>91</v>
      </c>
      <c r="H46" s="114">
        <f>ROUND(4,3)</f>
        <v>4</v>
      </c>
      <c r="I46" s="114">
        <v>0</v>
      </c>
      <c r="J46" s="114">
        <f>ROUND(H46,3) * I46</f>
        <v>0</v>
      </c>
      <c r="K46" s="116"/>
      <c r="L46" s="117">
        <f>ROUND(ROUND(H46,3) * ROUND(K46,2),2)</f>
        <v>0</v>
      </c>
    </row>
    <row r="47" spans="1:12" x14ac:dyDescent="0.2">
      <c r="A47" s="124" t="s">
        <v>49</v>
      </c>
      <c r="B47" s="125"/>
      <c r="F47" s="119" t="s">
        <v>17</v>
      </c>
      <c r="L47" s="127"/>
    </row>
    <row r="48" spans="1:12" x14ac:dyDescent="0.2">
      <c r="A48" s="107" t="s">
        <v>51</v>
      </c>
      <c r="B48" s="125"/>
      <c r="F48" s="122" t="s">
        <v>17</v>
      </c>
      <c r="L48" s="127"/>
    </row>
    <row r="49" spans="1:12" ht="79.5" thickBot="1" x14ac:dyDescent="0.25">
      <c r="A49" s="124" t="s">
        <v>53</v>
      </c>
      <c r="B49" s="125"/>
      <c r="F49" s="123" t="s">
        <v>286</v>
      </c>
      <c r="L49" s="127"/>
    </row>
    <row r="50" spans="1:12" ht="11.25" customHeight="1" thickBot="1" x14ac:dyDescent="0.25">
      <c r="A50" s="124" t="s">
        <v>44</v>
      </c>
      <c r="B50" s="113">
        <v>9</v>
      </c>
      <c r="C50" s="114" t="s">
        <v>289</v>
      </c>
      <c r="D50" s="115" t="s">
        <v>17</v>
      </c>
      <c r="E50" s="115" t="s">
        <v>46</v>
      </c>
      <c r="F50" s="115" t="s">
        <v>290</v>
      </c>
      <c r="G50" s="114" t="s">
        <v>91</v>
      </c>
      <c r="H50" s="114">
        <f>ROUND(4,3)</f>
        <v>4</v>
      </c>
      <c r="I50" s="114">
        <v>0</v>
      </c>
      <c r="J50" s="114">
        <f>ROUND(H50,3) * I50</f>
        <v>0</v>
      </c>
      <c r="K50" s="116"/>
      <c r="L50" s="117">
        <f>ROUND(ROUND(H50,3) * ROUND(K50,2),2)</f>
        <v>0</v>
      </c>
    </row>
    <row r="51" spans="1:12" x14ac:dyDescent="0.2">
      <c r="A51" s="124" t="s">
        <v>49</v>
      </c>
      <c r="B51" s="125"/>
      <c r="F51" s="119" t="s">
        <v>17</v>
      </c>
      <c r="L51" s="127"/>
    </row>
    <row r="52" spans="1:12" x14ac:dyDescent="0.2">
      <c r="A52" s="107" t="s">
        <v>51</v>
      </c>
      <c r="B52" s="125"/>
      <c r="F52" s="122" t="s">
        <v>17</v>
      </c>
      <c r="L52" s="127"/>
    </row>
    <row r="53" spans="1:12" ht="79.5" thickBot="1" x14ac:dyDescent="0.25">
      <c r="A53" s="124" t="s">
        <v>53</v>
      </c>
      <c r="B53" s="125"/>
      <c r="F53" s="123" t="s">
        <v>286</v>
      </c>
      <c r="L53" s="127"/>
    </row>
    <row r="54" spans="1:12" ht="11.25" customHeight="1" thickBot="1" x14ac:dyDescent="0.25">
      <c r="A54" s="124" t="s">
        <v>44</v>
      </c>
      <c r="B54" s="113">
        <v>10</v>
      </c>
      <c r="C54" s="114" t="s">
        <v>291</v>
      </c>
      <c r="D54" s="115" t="s">
        <v>17</v>
      </c>
      <c r="E54" s="115" t="s">
        <v>46</v>
      </c>
      <c r="F54" s="115" t="s">
        <v>292</v>
      </c>
      <c r="G54" s="114" t="s">
        <v>214</v>
      </c>
      <c r="H54" s="114">
        <f>ROUND(10,3)</f>
        <v>10</v>
      </c>
      <c r="I54" s="114">
        <v>0</v>
      </c>
      <c r="J54" s="114">
        <f>ROUND(H54,3) * I54</f>
        <v>0</v>
      </c>
      <c r="K54" s="116"/>
      <c r="L54" s="117">
        <f>ROUND(ROUND(H54,3) * ROUND(K54,2),2)</f>
        <v>0</v>
      </c>
    </row>
    <row r="55" spans="1:12" x14ac:dyDescent="0.2">
      <c r="A55" s="124" t="s">
        <v>49</v>
      </c>
      <c r="B55" s="125"/>
      <c r="F55" s="119" t="s">
        <v>17</v>
      </c>
      <c r="L55" s="127"/>
    </row>
    <row r="56" spans="1:12" x14ac:dyDescent="0.2">
      <c r="A56" s="107" t="s">
        <v>51</v>
      </c>
      <c r="B56" s="125"/>
      <c r="F56" s="122" t="s">
        <v>17</v>
      </c>
      <c r="L56" s="127"/>
    </row>
    <row r="57" spans="1:12" ht="79.5" thickBot="1" x14ac:dyDescent="0.25">
      <c r="A57" s="124" t="s">
        <v>53</v>
      </c>
      <c r="B57" s="125"/>
      <c r="F57" s="123" t="s">
        <v>293</v>
      </c>
      <c r="L57" s="127"/>
    </row>
    <row r="58" spans="1:12" ht="13.5" customHeight="1" thickBot="1" x14ac:dyDescent="0.25">
      <c r="B58" s="128" t="s">
        <v>58</v>
      </c>
      <c r="C58" s="129" t="s">
        <v>59</v>
      </c>
      <c r="D58" s="130"/>
      <c r="E58" s="130"/>
      <c r="F58" s="130" t="s">
        <v>120</v>
      </c>
      <c r="G58" s="130"/>
      <c r="H58" s="130"/>
      <c r="I58" s="130"/>
      <c r="J58" s="130"/>
      <c r="K58" s="130"/>
      <c r="L58" s="131">
        <f>SUM(L34:L57)</f>
        <v>0</v>
      </c>
    </row>
    <row r="59" spans="1:12" ht="20.100000000000001" customHeight="1" thickBot="1" x14ac:dyDescent="0.25">
      <c r="A59" s="124" t="s">
        <v>40</v>
      </c>
      <c r="B59" s="132" t="s">
        <v>41</v>
      </c>
      <c r="C59" s="109" t="s">
        <v>124</v>
      </c>
      <c r="D59" s="110"/>
      <c r="E59" s="110"/>
      <c r="F59" s="111" t="s">
        <v>125</v>
      </c>
      <c r="G59" s="110"/>
      <c r="H59" s="110"/>
      <c r="I59" s="110"/>
      <c r="J59" s="110"/>
      <c r="K59" s="110"/>
      <c r="L59" s="112"/>
    </row>
    <row r="60" spans="1:12" ht="11.25" customHeight="1" thickBot="1" x14ac:dyDescent="0.25">
      <c r="A60" s="124" t="s">
        <v>44</v>
      </c>
      <c r="B60" s="113">
        <v>11</v>
      </c>
      <c r="C60" s="114" t="s">
        <v>126</v>
      </c>
      <c r="D60" s="115" t="s">
        <v>17</v>
      </c>
      <c r="E60" s="115" t="s">
        <v>46</v>
      </c>
      <c r="F60" s="115" t="s">
        <v>127</v>
      </c>
      <c r="G60" s="114" t="s">
        <v>128</v>
      </c>
      <c r="H60" s="114">
        <f>ROUND(2.925,3)</f>
        <v>2.9249999999999998</v>
      </c>
      <c r="I60" s="114">
        <v>0</v>
      </c>
      <c r="J60" s="114">
        <f>ROUND(H60,3) * I60</f>
        <v>0</v>
      </c>
      <c r="K60" s="116"/>
      <c r="L60" s="117">
        <f>ROUND(ROUND(H60,3) * ROUND(K60,2),2)</f>
        <v>0</v>
      </c>
    </row>
    <row r="61" spans="1:12" x14ac:dyDescent="0.2">
      <c r="A61" s="124" t="s">
        <v>49</v>
      </c>
      <c r="B61" s="125"/>
      <c r="F61" s="119" t="s">
        <v>17</v>
      </c>
      <c r="L61" s="127"/>
    </row>
    <row r="62" spans="1:12" ht="45" x14ac:dyDescent="0.2">
      <c r="A62" s="107" t="s">
        <v>51</v>
      </c>
      <c r="B62" s="125"/>
      <c r="F62" s="122" t="s">
        <v>398</v>
      </c>
      <c r="L62" s="127"/>
    </row>
    <row r="63" spans="1:12" ht="147" thickBot="1" x14ac:dyDescent="0.25">
      <c r="A63" s="124" t="s">
        <v>53</v>
      </c>
      <c r="B63" s="125"/>
      <c r="F63" s="123" t="s">
        <v>130</v>
      </c>
      <c r="L63" s="127"/>
    </row>
    <row r="64" spans="1:12" ht="11.25" customHeight="1" thickBot="1" x14ac:dyDescent="0.25">
      <c r="A64" s="124" t="s">
        <v>44</v>
      </c>
      <c r="B64" s="113">
        <v>12</v>
      </c>
      <c r="C64" s="114" t="s">
        <v>131</v>
      </c>
      <c r="D64" s="115" t="s">
        <v>17</v>
      </c>
      <c r="E64" s="115" t="s">
        <v>46</v>
      </c>
      <c r="F64" s="115" t="s">
        <v>132</v>
      </c>
      <c r="G64" s="114" t="s">
        <v>128</v>
      </c>
      <c r="H64" s="114">
        <f>ROUND(2.925,3)</f>
        <v>2.9249999999999998</v>
      </c>
      <c r="I64" s="114">
        <v>0</v>
      </c>
      <c r="J64" s="114">
        <f>ROUND(H64,3) * I64</f>
        <v>0</v>
      </c>
      <c r="K64" s="116"/>
      <c r="L64" s="117">
        <f>ROUND(ROUND(H64,3) * ROUND(K64,2),2)</f>
        <v>0</v>
      </c>
    </row>
    <row r="65" spans="1:12" x14ac:dyDescent="0.2">
      <c r="A65" s="124" t="s">
        <v>49</v>
      </c>
      <c r="B65" s="125"/>
      <c r="F65" s="119" t="s">
        <v>17</v>
      </c>
      <c r="L65" s="127"/>
    </row>
    <row r="66" spans="1:12" x14ac:dyDescent="0.2">
      <c r="A66" s="107" t="s">
        <v>51</v>
      </c>
      <c r="B66" s="125"/>
      <c r="F66" s="122" t="s">
        <v>399</v>
      </c>
      <c r="L66" s="127"/>
    </row>
    <row r="67" spans="1:12" ht="68.25" thickBot="1" x14ac:dyDescent="0.25">
      <c r="A67" s="124" t="s">
        <v>53</v>
      </c>
      <c r="B67" s="125"/>
      <c r="F67" s="123" t="s">
        <v>134</v>
      </c>
      <c r="L67" s="127"/>
    </row>
    <row r="68" spans="1:12" ht="11.25" customHeight="1" thickBot="1" x14ac:dyDescent="0.25">
      <c r="A68" s="124" t="s">
        <v>44</v>
      </c>
      <c r="B68" s="113">
        <v>13</v>
      </c>
      <c r="C68" s="114" t="s">
        <v>141</v>
      </c>
      <c r="D68" s="115" t="s">
        <v>17</v>
      </c>
      <c r="E68" s="115" t="s">
        <v>46</v>
      </c>
      <c r="F68" s="115" t="s">
        <v>142</v>
      </c>
      <c r="G68" s="114" t="s">
        <v>91</v>
      </c>
      <c r="H68" s="114">
        <f>ROUND(12,3)</f>
        <v>12</v>
      </c>
      <c r="I68" s="114">
        <v>0</v>
      </c>
      <c r="J68" s="114">
        <f>ROUND(H68,3) * I68</f>
        <v>0</v>
      </c>
      <c r="K68" s="116"/>
      <c r="L68" s="117">
        <f>ROUND(ROUND(H68,3) * ROUND(K68,2),2)</f>
        <v>0</v>
      </c>
    </row>
    <row r="69" spans="1:12" x14ac:dyDescent="0.2">
      <c r="A69" s="124" t="s">
        <v>49</v>
      </c>
      <c r="B69" s="125"/>
      <c r="F69" s="119" t="s">
        <v>17</v>
      </c>
      <c r="L69" s="127"/>
    </row>
    <row r="70" spans="1:12" x14ac:dyDescent="0.2">
      <c r="A70" s="107" t="s">
        <v>51</v>
      </c>
      <c r="B70" s="125"/>
      <c r="F70" s="122" t="s">
        <v>17</v>
      </c>
      <c r="L70" s="127"/>
    </row>
    <row r="71" spans="1:12" ht="102" thickBot="1" x14ac:dyDescent="0.25">
      <c r="A71" s="124" t="s">
        <v>53</v>
      </c>
      <c r="B71" s="125"/>
      <c r="F71" s="123" t="s">
        <v>143</v>
      </c>
      <c r="L71" s="127"/>
    </row>
    <row r="72" spans="1:12" ht="11.25" customHeight="1" thickBot="1" x14ac:dyDescent="0.25">
      <c r="A72" s="124" t="s">
        <v>44</v>
      </c>
      <c r="B72" s="113">
        <v>14</v>
      </c>
      <c r="C72" s="114" t="s">
        <v>147</v>
      </c>
      <c r="D72" s="115" t="s">
        <v>17</v>
      </c>
      <c r="E72" s="115" t="s">
        <v>46</v>
      </c>
      <c r="F72" s="115" t="s">
        <v>148</v>
      </c>
      <c r="G72" s="114" t="s">
        <v>91</v>
      </c>
      <c r="H72" s="114">
        <f>ROUND(12,3)</f>
        <v>12</v>
      </c>
      <c r="I72" s="114">
        <v>0</v>
      </c>
      <c r="J72" s="114">
        <f>ROUND(H72,3) * I72</f>
        <v>0</v>
      </c>
      <c r="K72" s="116"/>
      <c r="L72" s="117">
        <f>ROUND(ROUND(H72,3) * ROUND(K72,2),2)</f>
        <v>0</v>
      </c>
    </row>
    <row r="73" spans="1:12" x14ac:dyDescent="0.2">
      <c r="A73" s="124" t="s">
        <v>49</v>
      </c>
      <c r="B73" s="125"/>
      <c r="F73" s="119" t="s">
        <v>17</v>
      </c>
      <c r="L73" s="127"/>
    </row>
    <row r="74" spans="1:12" x14ac:dyDescent="0.2">
      <c r="A74" s="107" t="s">
        <v>51</v>
      </c>
      <c r="B74" s="125"/>
      <c r="F74" s="122" t="s">
        <v>296</v>
      </c>
      <c r="L74" s="127"/>
    </row>
    <row r="75" spans="1:12" ht="90.75" thickBot="1" x14ac:dyDescent="0.25">
      <c r="A75" s="124" t="s">
        <v>53</v>
      </c>
      <c r="B75" s="125"/>
      <c r="F75" s="123" t="s">
        <v>150</v>
      </c>
      <c r="L75" s="127"/>
    </row>
    <row r="76" spans="1:12" ht="13.5" customHeight="1" thickBot="1" x14ac:dyDescent="0.25">
      <c r="B76" s="128" t="s">
        <v>58</v>
      </c>
      <c r="C76" s="129" t="s">
        <v>59</v>
      </c>
      <c r="D76" s="130"/>
      <c r="E76" s="130"/>
      <c r="F76" s="130" t="s">
        <v>125</v>
      </c>
      <c r="G76" s="130"/>
      <c r="H76" s="130"/>
      <c r="I76" s="130"/>
      <c r="J76" s="130"/>
      <c r="K76" s="130"/>
      <c r="L76" s="131">
        <f>SUM(L60:L75)</f>
        <v>0</v>
      </c>
    </row>
    <row r="77" spans="1:12" ht="20.100000000000001" customHeight="1" thickBot="1" x14ac:dyDescent="0.25">
      <c r="A77" s="124" t="s">
        <v>40</v>
      </c>
      <c r="B77" s="132" t="s">
        <v>41</v>
      </c>
      <c r="C77" s="109" t="s">
        <v>151</v>
      </c>
      <c r="D77" s="110"/>
      <c r="E77" s="110"/>
      <c r="F77" s="111" t="s">
        <v>152</v>
      </c>
      <c r="G77" s="110"/>
      <c r="H77" s="110"/>
      <c r="I77" s="110"/>
      <c r="J77" s="110"/>
      <c r="K77" s="110"/>
      <c r="L77" s="112"/>
    </row>
    <row r="78" spans="1:12" ht="11.25" customHeight="1" thickBot="1" x14ac:dyDescent="0.25">
      <c r="A78" s="124" t="s">
        <v>44</v>
      </c>
      <c r="B78" s="113">
        <v>15</v>
      </c>
      <c r="C78" s="114" t="s">
        <v>153</v>
      </c>
      <c r="D78" s="115" t="s">
        <v>17</v>
      </c>
      <c r="E78" s="115" t="s">
        <v>46</v>
      </c>
      <c r="F78" s="115" t="s">
        <v>154</v>
      </c>
      <c r="G78" s="114" t="s">
        <v>69</v>
      </c>
      <c r="H78" s="114">
        <f>ROUND(5,3)</f>
        <v>5</v>
      </c>
      <c r="I78" s="114">
        <v>0</v>
      </c>
      <c r="J78" s="114">
        <f>ROUND(H78,3) * I78</f>
        <v>0</v>
      </c>
      <c r="K78" s="116"/>
      <c r="L78" s="117">
        <f>ROUND(ROUND(H78,3) * ROUND(K78,2),2)</f>
        <v>0</v>
      </c>
    </row>
    <row r="79" spans="1:12" x14ac:dyDescent="0.2">
      <c r="A79" s="124" t="s">
        <v>49</v>
      </c>
      <c r="B79" s="125"/>
      <c r="F79" s="119" t="s">
        <v>17</v>
      </c>
      <c r="L79" s="127"/>
    </row>
    <row r="80" spans="1:12" x14ac:dyDescent="0.2">
      <c r="A80" s="107" t="s">
        <v>51</v>
      </c>
      <c r="B80" s="125"/>
      <c r="F80" s="122" t="s">
        <v>17</v>
      </c>
      <c r="L80" s="127"/>
    </row>
    <row r="81" spans="1:12" ht="90.75" thickBot="1" x14ac:dyDescent="0.25">
      <c r="A81" s="124" t="s">
        <v>53</v>
      </c>
      <c r="B81" s="125"/>
      <c r="F81" s="123" t="s">
        <v>155</v>
      </c>
      <c r="L81" s="127"/>
    </row>
    <row r="82" spans="1:12" ht="11.25" customHeight="1" thickBot="1" x14ac:dyDescent="0.25">
      <c r="A82" s="124" t="s">
        <v>44</v>
      </c>
      <c r="B82" s="113">
        <v>16</v>
      </c>
      <c r="C82" s="114" t="s">
        <v>156</v>
      </c>
      <c r="D82" s="115" t="s">
        <v>17</v>
      </c>
      <c r="E82" s="115" t="s">
        <v>46</v>
      </c>
      <c r="F82" s="115" t="s">
        <v>157</v>
      </c>
      <c r="G82" s="114" t="s">
        <v>69</v>
      </c>
      <c r="H82" s="114">
        <f>ROUND(5,3)</f>
        <v>5</v>
      </c>
      <c r="I82" s="114">
        <v>0</v>
      </c>
      <c r="J82" s="114">
        <f>ROUND(H82,3) * I82</f>
        <v>0</v>
      </c>
      <c r="K82" s="116"/>
      <c r="L82" s="117">
        <f>ROUND(ROUND(H82,3) * ROUND(K82,2),2)</f>
        <v>0</v>
      </c>
    </row>
    <row r="83" spans="1:12" x14ac:dyDescent="0.2">
      <c r="A83" s="124" t="s">
        <v>49</v>
      </c>
      <c r="B83" s="125"/>
      <c r="F83" s="119" t="s">
        <v>17</v>
      </c>
      <c r="L83" s="127"/>
    </row>
    <row r="84" spans="1:12" x14ac:dyDescent="0.2">
      <c r="A84" s="107" t="s">
        <v>51</v>
      </c>
      <c r="B84" s="125"/>
      <c r="F84" s="122" t="s">
        <v>17</v>
      </c>
      <c r="L84" s="127"/>
    </row>
    <row r="85" spans="1:12" ht="102" thickBot="1" x14ac:dyDescent="0.25">
      <c r="A85" s="124" t="s">
        <v>53</v>
      </c>
      <c r="B85" s="125"/>
      <c r="F85" s="123" t="s">
        <v>158</v>
      </c>
      <c r="L85" s="127"/>
    </row>
    <row r="86" spans="1:12" ht="11.25" customHeight="1" thickBot="1" x14ac:dyDescent="0.25">
      <c r="A86" s="124" t="s">
        <v>44</v>
      </c>
      <c r="B86" s="113">
        <v>17</v>
      </c>
      <c r="C86" s="114" t="s">
        <v>327</v>
      </c>
      <c r="D86" s="115" t="s">
        <v>17</v>
      </c>
      <c r="E86" s="115" t="s">
        <v>46</v>
      </c>
      <c r="F86" s="115" t="s">
        <v>328</v>
      </c>
      <c r="G86" s="114" t="s">
        <v>91</v>
      </c>
      <c r="H86" s="114">
        <f>ROUND(1,3)</f>
        <v>1</v>
      </c>
      <c r="I86" s="114">
        <v>0</v>
      </c>
      <c r="J86" s="114">
        <f>ROUND(H86,3) * I86</f>
        <v>0</v>
      </c>
      <c r="K86" s="116"/>
      <c r="L86" s="117">
        <f>ROUND(ROUND(H86,3) * ROUND(K86,2),2)</f>
        <v>0</v>
      </c>
    </row>
    <row r="87" spans="1:12" x14ac:dyDescent="0.2">
      <c r="A87" s="124" t="s">
        <v>49</v>
      </c>
      <c r="B87" s="125"/>
      <c r="F87" s="119" t="s">
        <v>17</v>
      </c>
      <c r="L87" s="127"/>
    </row>
    <row r="88" spans="1:12" x14ac:dyDescent="0.2">
      <c r="A88" s="107" t="s">
        <v>51</v>
      </c>
      <c r="B88" s="125"/>
      <c r="F88" s="122" t="s">
        <v>52</v>
      </c>
      <c r="L88" s="127"/>
    </row>
    <row r="89" spans="1:12" ht="45.75" thickBot="1" x14ac:dyDescent="0.25">
      <c r="A89" s="124" t="s">
        <v>53</v>
      </c>
      <c r="B89" s="125"/>
      <c r="F89" s="123" t="s">
        <v>329</v>
      </c>
      <c r="L89" s="127"/>
    </row>
    <row r="90" spans="1:12" ht="11.25" customHeight="1" thickBot="1" x14ac:dyDescent="0.25">
      <c r="A90" s="124" t="s">
        <v>44</v>
      </c>
      <c r="B90" s="113">
        <v>18</v>
      </c>
      <c r="C90" s="114" t="s">
        <v>330</v>
      </c>
      <c r="D90" s="115" t="s">
        <v>17</v>
      </c>
      <c r="E90" s="115" t="s">
        <v>46</v>
      </c>
      <c r="F90" s="115" t="s">
        <v>331</v>
      </c>
      <c r="G90" s="114" t="s">
        <v>91</v>
      </c>
      <c r="H90" s="114">
        <f>ROUND(1,3)</f>
        <v>1</v>
      </c>
      <c r="I90" s="114">
        <v>0</v>
      </c>
      <c r="J90" s="114">
        <f>ROUND(H90,3) * I90</f>
        <v>0</v>
      </c>
      <c r="K90" s="116"/>
      <c r="L90" s="117">
        <f>ROUND(ROUND(H90,3) * ROUND(K90,2),2)</f>
        <v>0</v>
      </c>
    </row>
    <row r="91" spans="1:12" x14ac:dyDescent="0.2">
      <c r="A91" s="124" t="s">
        <v>49</v>
      </c>
      <c r="B91" s="125"/>
      <c r="F91" s="119" t="s">
        <v>17</v>
      </c>
      <c r="L91" s="127"/>
    </row>
    <row r="92" spans="1:12" x14ac:dyDescent="0.2">
      <c r="A92" s="107" t="s">
        <v>51</v>
      </c>
      <c r="B92" s="125"/>
      <c r="F92" s="122" t="s">
        <v>17</v>
      </c>
      <c r="L92" s="127"/>
    </row>
    <row r="93" spans="1:12" ht="57" thickBot="1" x14ac:dyDescent="0.25">
      <c r="A93" s="124" t="s">
        <v>53</v>
      </c>
      <c r="B93" s="125"/>
      <c r="F93" s="123" t="s">
        <v>332</v>
      </c>
      <c r="L93" s="127"/>
    </row>
    <row r="94" spans="1:12" ht="11.25" customHeight="1" thickBot="1" x14ac:dyDescent="0.25">
      <c r="A94" s="124" t="s">
        <v>44</v>
      </c>
      <c r="B94" s="113">
        <v>19</v>
      </c>
      <c r="C94" s="114" t="s">
        <v>336</v>
      </c>
      <c r="D94" s="115" t="s">
        <v>17</v>
      </c>
      <c r="E94" s="115" t="s">
        <v>46</v>
      </c>
      <c r="F94" s="115" t="s">
        <v>337</v>
      </c>
      <c r="G94" s="114" t="s">
        <v>91</v>
      </c>
      <c r="H94" s="114">
        <f>ROUND(1,3)</f>
        <v>1</v>
      </c>
      <c r="I94" s="114">
        <v>0</v>
      </c>
      <c r="J94" s="114">
        <f>ROUND(H94,3) * I94</f>
        <v>0</v>
      </c>
      <c r="K94" s="116"/>
      <c r="L94" s="117">
        <f>ROUND(ROUND(H94,3) * ROUND(K94,2),2)</f>
        <v>0</v>
      </c>
    </row>
    <row r="95" spans="1:12" x14ac:dyDescent="0.2">
      <c r="A95" s="124" t="s">
        <v>49</v>
      </c>
      <c r="B95" s="125"/>
      <c r="F95" s="119" t="s">
        <v>17</v>
      </c>
      <c r="L95" s="127"/>
    </row>
    <row r="96" spans="1:12" x14ac:dyDescent="0.2">
      <c r="A96" s="107" t="s">
        <v>51</v>
      </c>
      <c r="B96" s="125"/>
      <c r="F96" s="122" t="s">
        <v>17</v>
      </c>
      <c r="L96" s="127"/>
    </row>
    <row r="97" spans="1:12" ht="79.5" thickBot="1" x14ac:dyDescent="0.25">
      <c r="A97" s="124" t="s">
        <v>53</v>
      </c>
      <c r="B97" s="125"/>
      <c r="F97" s="123" t="s">
        <v>335</v>
      </c>
      <c r="L97" s="127"/>
    </row>
    <row r="98" spans="1:12" ht="13.5" customHeight="1" thickBot="1" x14ac:dyDescent="0.25">
      <c r="B98" s="128" t="s">
        <v>58</v>
      </c>
      <c r="C98" s="129" t="s">
        <v>59</v>
      </c>
      <c r="D98" s="130"/>
      <c r="E98" s="130"/>
      <c r="F98" s="130" t="s">
        <v>152</v>
      </c>
      <c r="G98" s="130"/>
      <c r="H98" s="130"/>
      <c r="I98" s="130"/>
      <c r="J98" s="130"/>
      <c r="K98" s="130"/>
      <c r="L98" s="131">
        <f>SUM(L78:L97)</f>
        <v>0</v>
      </c>
    </row>
    <row r="99" spans="1:12" ht="20.100000000000001" customHeight="1" thickBot="1" x14ac:dyDescent="0.25">
      <c r="A99" s="124" t="s">
        <v>40</v>
      </c>
      <c r="B99" s="132" t="s">
        <v>41</v>
      </c>
      <c r="C99" s="109" t="s">
        <v>202</v>
      </c>
      <c r="D99" s="110"/>
      <c r="E99" s="110"/>
      <c r="F99" s="111" t="s">
        <v>203</v>
      </c>
      <c r="G99" s="110"/>
      <c r="H99" s="110"/>
      <c r="I99" s="110"/>
      <c r="J99" s="110"/>
      <c r="K99" s="110"/>
      <c r="L99" s="112"/>
    </row>
    <row r="100" spans="1:12" ht="11.25" customHeight="1" thickBot="1" x14ac:dyDescent="0.25">
      <c r="A100" s="124" t="s">
        <v>44</v>
      </c>
      <c r="B100" s="113">
        <v>20</v>
      </c>
      <c r="C100" s="114" t="s">
        <v>338</v>
      </c>
      <c r="D100" s="115" t="s">
        <v>17</v>
      </c>
      <c r="E100" s="115" t="s">
        <v>46</v>
      </c>
      <c r="F100" s="115" t="s">
        <v>339</v>
      </c>
      <c r="G100" s="114" t="s">
        <v>91</v>
      </c>
      <c r="H100" s="114">
        <f>ROUND(1,3)</f>
        <v>1</v>
      </c>
      <c r="I100" s="114">
        <v>0</v>
      </c>
      <c r="J100" s="114">
        <f>ROUND(H100,3) * I100</f>
        <v>0</v>
      </c>
      <c r="K100" s="116"/>
      <c r="L100" s="117">
        <f>ROUND(ROUND(H100,3) * ROUND(K100,2),2)</f>
        <v>0</v>
      </c>
    </row>
    <row r="101" spans="1:12" x14ac:dyDescent="0.2">
      <c r="A101" s="124" t="s">
        <v>49</v>
      </c>
      <c r="B101" s="125"/>
      <c r="F101" s="119" t="s">
        <v>17</v>
      </c>
      <c r="L101" s="127"/>
    </row>
    <row r="102" spans="1:12" x14ac:dyDescent="0.2">
      <c r="A102" s="107" t="s">
        <v>51</v>
      </c>
      <c r="B102" s="125"/>
      <c r="F102" s="122" t="s">
        <v>17</v>
      </c>
      <c r="L102" s="127"/>
    </row>
    <row r="103" spans="1:12" ht="124.5" thickBot="1" x14ac:dyDescent="0.25">
      <c r="A103" s="124" t="s">
        <v>53</v>
      </c>
      <c r="B103" s="125"/>
      <c r="F103" s="123" t="s">
        <v>340</v>
      </c>
      <c r="L103" s="127"/>
    </row>
    <row r="104" spans="1:12" ht="11.25" customHeight="1" thickBot="1" x14ac:dyDescent="0.25">
      <c r="A104" s="124" t="s">
        <v>44</v>
      </c>
      <c r="B104" s="113">
        <v>21</v>
      </c>
      <c r="C104" s="114" t="s">
        <v>341</v>
      </c>
      <c r="D104" s="115" t="s">
        <v>17</v>
      </c>
      <c r="E104" s="115" t="s">
        <v>46</v>
      </c>
      <c r="F104" s="115" t="s">
        <v>342</v>
      </c>
      <c r="G104" s="114" t="s">
        <v>91</v>
      </c>
      <c r="H104" s="114">
        <f>ROUND(1,3)</f>
        <v>1</v>
      </c>
      <c r="I104" s="114">
        <v>0</v>
      </c>
      <c r="J104" s="114">
        <f>ROUND(H104,3) * I104</f>
        <v>0</v>
      </c>
      <c r="K104" s="116"/>
      <c r="L104" s="117">
        <f>ROUND(ROUND(H104,3) * ROUND(K104,2),2)</f>
        <v>0</v>
      </c>
    </row>
    <row r="105" spans="1:12" x14ac:dyDescent="0.2">
      <c r="A105" s="124" t="s">
        <v>49</v>
      </c>
      <c r="B105" s="125"/>
      <c r="F105" s="119" t="s">
        <v>17</v>
      </c>
      <c r="L105" s="127"/>
    </row>
    <row r="106" spans="1:12" x14ac:dyDescent="0.2">
      <c r="A106" s="107" t="s">
        <v>51</v>
      </c>
      <c r="B106" s="125"/>
      <c r="F106" s="122" t="s">
        <v>17</v>
      </c>
      <c r="L106" s="127"/>
    </row>
    <row r="107" spans="1:12" ht="102" thickBot="1" x14ac:dyDescent="0.25">
      <c r="A107" s="124" t="s">
        <v>53</v>
      </c>
      <c r="B107" s="125"/>
      <c r="F107" s="123" t="s">
        <v>343</v>
      </c>
      <c r="L107" s="127"/>
    </row>
    <row r="108" spans="1:12" ht="11.25" customHeight="1" thickBot="1" x14ac:dyDescent="0.25">
      <c r="A108" s="124" t="s">
        <v>44</v>
      </c>
      <c r="B108" s="113">
        <v>22</v>
      </c>
      <c r="C108" s="114" t="s">
        <v>344</v>
      </c>
      <c r="D108" s="115" t="s">
        <v>17</v>
      </c>
      <c r="E108" s="115" t="s">
        <v>46</v>
      </c>
      <c r="F108" s="115" t="s">
        <v>345</v>
      </c>
      <c r="G108" s="114" t="s">
        <v>91</v>
      </c>
      <c r="H108" s="114">
        <f>ROUND(1,3)</f>
        <v>1</v>
      </c>
      <c r="I108" s="114">
        <v>0</v>
      </c>
      <c r="J108" s="114">
        <f>ROUND(H108,3) * I108</f>
        <v>0</v>
      </c>
      <c r="K108" s="116"/>
      <c r="L108" s="117">
        <f>ROUND(ROUND(H108,3) * ROUND(K108,2),2)</f>
        <v>0</v>
      </c>
    </row>
    <row r="109" spans="1:12" x14ac:dyDescent="0.2">
      <c r="A109" s="124" t="s">
        <v>49</v>
      </c>
      <c r="B109" s="125"/>
      <c r="F109" s="119" t="s">
        <v>17</v>
      </c>
      <c r="L109" s="127"/>
    </row>
    <row r="110" spans="1:12" x14ac:dyDescent="0.2">
      <c r="A110" s="107" t="s">
        <v>51</v>
      </c>
      <c r="B110" s="125"/>
      <c r="F110" s="122" t="s">
        <v>17</v>
      </c>
      <c r="L110" s="127"/>
    </row>
    <row r="111" spans="1:12" ht="113.25" thickBot="1" x14ac:dyDescent="0.25">
      <c r="A111" s="124" t="s">
        <v>53</v>
      </c>
      <c r="B111" s="125"/>
      <c r="F111" s="123" t="s">
        <v>346</v>
      </c>
      <c r="L111" s="127"/>
    </row>
    <row r="112" spans="1:12" ht="11.25" customHeight="1" thickBot="1" x14ac:dyDescent="0.25">
      <c r="A112" s="124" t="s">
        <v>44</v>
      </c>
      <c r="B112" s="113">
        <v>23</v>
      </c>
      <c r="C112" s="114" t="s">
        <v>347</v>
      </c>
      <c r="D112" s="115" t="s">
        <v>17</v>
      </c>
      <c r="E112" s="115" t="s">
        <v>46</v>
      </c>
      <c r="F112" s="115" t="s">
        <v>348</v>
      </c>
      <c r="G112" s="114" t="s">
        <v>91</v>
      </c>
      <c r="H112" s="114">
        <f>ROUND(1,3)</f>
        <v>1</v>
      </c>
      <c r="I112" s="114">
        <v>0</v>
      </c>
      <c r="J112" s="114">
        <f>ROUND(H112,3) * I112</f>
        <v>0</v>
      </c>
      <c r="K112" s="116"/>
      <c r="L112" s="117">
        <f>ROUND(ROUND(H112,3) * ROUND(K112,2),2)</f>
        <v>0</v>
      </c>
    </row>
    <row r="113" spans="1:12" x14ac:dyDescent="0.2">
      <c r="A113" s="124" t="s">
        <v>49</v>
      </c>
      <c r="B113" s="125"/>
      <c r="F113" s="119" t="s">
        <v>17</v>
      </c>
      <c r="L113" s="127"/>
    </row>
    <row r="114" spans="1:12" x14ac:dyDescent="0.2">
      <c r="A114" s="107" t="s">
        <v>51</v>
      </c>
      <c r="B114" s="125"/>
      <c r="F114" s="122" t="s">
        <v>17</v>
      </c>
      <c r="L114" s="127"/>
    </row>
    <row r="115" spans="1:12" ht="90.75" thickBot="1" x14ac:dyDescent="0.25">
      <c r="A115" s="124" t="s">
        <v>53</v>
      </c>
      <c r="B115" s="125"/>
      <c r="F115" s="123" t="s">
        <v>350</v>
      </c>
      <c r="L115" s="127"/>
    </row>
    <row r="116" spans="1:12" ht="11.25" customHeight="1" thickBot="1" x14ac:dyDescent="0.25">
      <c r="A116" s="124" t="s">
        <v>44</v>
      </c>
      <c r="B116" s="113">
        <v>24</v>
      </c>
      <c r="C116" s="114" t="s">
        <v>400</v>
      </c>
      <c r="D116" s="115" t="s">
        <v>17</v>
      </c>
      <c r="E116" s="115" t="s">
        <v>46</v>
      </c>
      <c r="F116" s="115" t="s">
        <v>401</v>
      </c>
      <c r="G116" s="114" t="s">
        <v>91</v>
      </c>
      <c r="H116" s="114">
        <f>ROUND(1,3)</f>
        <v>1</v>
      </c>
      <c r="I116" s="114">
        <v>0</v>
      </c>
      <c r="J116" s="114">
        <f>ROUND(H116,3) * I116</f>
        <v>0</v>
      </c>
      <c r="K116" s="116"/>
      <c r="L116" s="117">
        <f>ROUND(ROUND(H116,3) * ROUND(K116,2),2)</f>
        <v>0</v>
      </c>
    </row>
    <row r="117" spans="1:12" x14ac:dyDescent="0.2">
      <c r="A117" s="124" t="s">
        <v>49</v>
      </c>
      <c r="B117" s="125"/>
      <c r="F117" s="119" t="s">
        <v>17</v>
      </c>
      <c r="L117" s="127"/>
    </row>
    <row r="118" spans="1:12" x14ac:dyDescent="0.2">
      <c r="A118" s="107" t="s">
        <v>51</v>
      </c>
      <c r="B118" s="125"/>
      <c r="F118" s="122" t="s">
        <v>17</v>
      </c>
      <c r="L118" s="127"/>
    </row>
    <row r="119" spans="1:12" ht="113.25" thickBot="1" x14ac:dyDescent="0.25">
      <c r="A119" s="124" t="s">
        <v>53</v>
      </c>
      <c r="B119" s="125"/>
      <c r="F119" s="123" t="s">
        <v>402</v>
      </c>
      <c r="L119" s="127"/>
    </row>
    <row r="120" spans="1:12" ht="11.25" customHeight="1" thickBot="1" x14ac:dyDescent="0.25">
      <c r="A120" s="124" t="s">
        <v>44</v>
      </c>
      <c r="B120" s="113">
        <v>25</v>
      </c>
      <c r="C120" s="114" t="s">
        <v>403</v>
      </c>
      <c r="D120" s="115" t="s">
        <v>17</v>
      </c>
      <c r="E120" s="115" t="s">
        <v>46</v>
      </c>
      <c r="F120" s="115" t="s">
        <v>404</v>
      </c>
      <c r="G120" s="114" t="s">
        <v>91</v>
      </c>
      <c r="H120" s="114">
        <f>ROUND(1,3)</f>
        <v>1</v>
      </c>
      <c r="I120" s="114">
        <v>0</v>
      </c>
      <c r="J120" s="114">
        <f>ROUND(H120,3) * I120</f>
        <v>0</v>
      </c>
      <c r="K120" s="116"/>
      <c r="L120" s="117">
        <f>ROUND(ROUND(H120,3) * ROUND(K120,2),2)</f>
        <v>0</v>
      </c>
    </row>
    <row r="121" spans="1:12" x14ac:dyDescent="0.2">
      <c r="A121" s="124" t="s">
        <v>49</v>
      </c>
      <c r="B121" s="125"/>
      <c r="F121" s="119" t="s">
        <v>405</v>
      </c>
      <c r="L121" s="127"/>
    </row>
    <row r="122" spans="1:12" x14ac:dyDescent="0.2">
      <c r="A122" s="107" t="s">
        <v>51</v>
      </c>
      <c r="B122" s="125"/>
      <c r="F122" s="122" t="s">
        <v>17</v>
      </c>
      <c r="L122" s="127"/>
    </row>
    <row r="123" spans="1:12" ht="90.75" thickBot="1" x14ac:dyDescent="0.25">
      <c r="A123" s="124" t="s">
        <v>53</v>
      </c>
      <c r="B123" s="125"/>
      <c r="F123" s="123" t="s">
        <v>406</v>
      </c>
      <c r="L123" s="127"/>
    </row>
    <row r="124" spans="1:12" ht="11.25" customHeight="1" thickBot="1" x14ac:dyDescent="0.25">
      <c r="A124" s="124" t="s">
        <v>44</v>
      </c>
      <c r="B124" s="113">
        <v>26</v>
      </c>
      <c r="C124" s="114" t="s">
        <v>407</v>
      </c>
      <c r="D124" s="115" t="s">
        <v>17</v>
      </c>
      <c r="E124" s="115" t="s">
        <v>46</v>
      </c>
      <c r="F124" s="115" t="s">
        <v>408</v>
      </c>
      <c r="G124" s="114" t="s">
        <v>91</v>
      </c>
      <c r="H124" s="114">
        <f>ROUND(1,3)</f>
        <v>1</v>
      </c>
      <c r="I124" s="114">
        <v>0</v>
      </c>
      <c r="J124" s="114">
        <f>ROUND(H124,3) * I124</f>
        <v>0</v>
      </c>
      <c r="K124" s="116"/>
      <c r="L124" s="117">
        <f>ROUND(ROUND(H124,3) * ROUND(K124,2),2)</f>
        <v>0</v>
      </c>
    </row>
    <row r="125" spans="1:12" x14ac:dyDescent="0.2">
      <c r="A125" s="124" t="s">
        <v>49</v>
      </c>
      <c r="B125" s="125"/>
      <c r="F125" s="119" t="s">
        <v>17</v>
      </c>
      <c r="L125" s="127"/>
    </row>
    <row r="126" spans="1:12" x14ac:dyDescent="0.2">
      <c r="A126" s="107" t="s">
        <v>51</v>
      </c>
      <c r="B126" s="125"/>
      <c r="F126" s="122" t="s">
        <v>17</v>
      </c>
      <c r="L126" s="127"/>
    </row>
    <row r="127" spans="1:12" ht="102" thickBot="1" x14ac:dyDescent="0.25">
      <c r="A127" s="124" t="s">
        <v>53</v>
      </c>
      <c r="B127" s="125"/>
      <c r="F127" s="123" t="s">
        <v>409</v>
      </c>
      <c r="L127" s="127"/>
    </row>
    <row r="128" spans="1:12" ht="11.25" customHeight="1" thickBot="1" x14ac:dyDescent="0.25">
      <c r="A128" s="124" t="s">
        <v>44</v>
      </c>
      <c r="B128" s="113">
        <v>27</v>
      </c>
      <c r="C128" s="114" t="s">
        <v>410</v>
      </c>
      <c r="D128" s="115" t="s">
        <v>17</v>
      </c>
      <c r="E128" s="115" t="s">
        <v>46</v>
      </c>
      <c r="F128" s="115" t="s">
        <v>411</v>
      </c>
      <c r="G128" s="114" t="s">
        <v>91</v>
      </c>
      <c r="H128" s="114">
        <f>ROUND(1,3)</f>
        <v>1</v>
      </c>
      <c r="I128" s="114">
        <v>0</v>
      </c>
      <c r="J128" s="114">
        <f>ROUND(H128,3) * I128</f>
        <v>0</v>
      </c>
      <c r="K128" s="116"/>
      <c r="L128" s="117">
        <f>ROUND(ROUND(H128,3) * ROUND(K128,2),2)</f>
        <v>0</v>
      </c>
    </row>
    <row r="129" spans="1:12" x14ac:dyDescent="0.2">
      <c r="A129" s="124" t="s">
        <v>49</v>
      </c>
      <c r="B129" s="125"/>
      <c r="F129" s="119" t="s">
        <v>17</v>
      </c>
      <c r="L129" s="127"/>
    </row>
    <row r="130" spans="1:12" x14ac:dyDescent="0.2">
      <c r="A130" s="107" t="s">
        <v>51</v>
      </c>
      <c r="B130" s="125"/>
      <c r="F130" s="122" t="s">
        <v>17</v>
      </c>
      <c r="L130" s="127"/>
    </row>
    <row r="131" spans="1:12" ht="90.75" thickBot="1" x14ac:dyDescent="0.25">
      <c r="A131" s="124" t="s">
        <v>53</v>
      </c>
      <c r="B131" s="125"/>
      <c r="F131" s="123" t="s">
        <v>412</v>
      </c>
      <c r="L131" s="127"/>
    </row>
    <row r="132" spans="1:12" ht="11.25" customHeight="1" thickBot="1" x14ac:dyDescent="0.25">
      <c r="A132" s="124" t="s">
        <v>44</v>
      </c>
      <c r="B132" s="113">
        <v>28</v>
      </c>
      <c r="C132" s="114" t="s">
        <v>354</v>
      </c>
      <c r="D132" s="115" t="s">
        <v>17</v>
      </c>
      <c r="E132" s="115" t="s">
        <v>46</v>
      </c>
      <c r="F132" s="115" t="s">
        <v>355</v>
      </c>
      <c r="G132" s="114" t="s">
        <v>91</v>
      </c>
      <c r="H132" s="114">
        <f>ROUND(1,3)</f>
        <v>1</v>
      </c>
      <c r="I132" s="114">
        <v>0</v>
      </c>
      <c r="J132" s="114">
        <f>ROUND(H132,3) * I132</f>
        <v>0</v>
      </c>
      <c r="K132" s="116"/>
      <c r="L132" s="117">
        <f>ROUND(ROUND(H132,3) * ROUND(K132,2),2)</f>
        <v>0</v>
      </c>
    </row>
    <row r="133" spans="1:12" x14ac:dyDescent="0.2">
      <c r="A133" s="124" t="s">
        <v>49</v>
      </c>
      <c r="B133" s="125"/>
      <c r="F133" s="119" t="s">
        <v>17</v>
      </c>
      <c r="L133" s="127"/>
    </row>
    <row r="134" spans="1:12" x14ac:dyDescent="0.2">
      <c r="A134" s="107" t="s">
        <v>51</v>
      </c>
      <c r="B134" s="125"/>
      <c r="F134" s="122" t="s">
        <v>17</v>
      </c>
      <c r="L134" s="127"/>
    </row>
    <row r="135" spans="1:12" ht="90.75" thickBot="1" x14ac:dyDescent="0.25">
      <c r="A135" s="124" t="s">
        <v>53</v>
      </c>
      <c r="B135" s="125"/>
      <c r="F135" s="123" t="s">
        <v>356</v>
      </c>
      <c r="L135" s="127"/>
    </row>
    <row r="136" spans="1:12" ht="11.25" customHeight="1" thickBot="1" x14ac:dyDescent="0.25">
      <c r="A136" s="124" t="s">
        <v>44</v>
      </c>
      <c r="B136" s="113">
        <v>29</v>
      </c>
      <c r="C136" s="114" t="s">
        <v>357</v>
      </c>
      <c r="D136" s="115" t="s">
        <v>17</v>
      </c>
      <c r="E136" s="115" t="s">
        <v>46</v>
      </c>
      <c r="F136" s="115" t="s">
        <v>358</v>
      </c>
      <c r="G136" s="114" t="s">
        <v>91</v>
      </c>
      <c r="H136" s="114">
        <f>ROUND(1,3)</f>
        <v>1</v>
      </c>
      <c r="I136" s="114">
        <v>0</v>
      </c>
      <c r="J136" s="114">
        <f>ROUND(H136,3) * I136</f>
        <v>0</v>
      </c>
      <c r="K136" s="116"/>
      <c r="L136" s="117">
        <f>ROUND(ROUND(H136,3) * ROUND(K136,2),2)</f>
        <v>0</v>
      </c>
    </row>
    <row r="137" spans="1:12" x14ac:dyDescent="0.2">
      <c r="A137" s="124" t="s">
        <v>49</v>
      </c>
      <c r="B137" s="125"/>
      <c r="F137" s="119" t="s">
        <v>17</v>
      </c>
      <c r="L137" s="127"/>
    </row>
    <row r="138" spans="1:12" x14ac:dyDescent="0.2">
      <c r="A138" s="107" t="s">
        <v>51</v>
      </c>
      <c r="B138" s="125"/>
      <c r="F138" s="122" t="s">
        <v>17</v>
      </c>
      <c r="L138" s="127"/>
    </row>
    <row r="139" spans="1:12" ht="90.75" thickBot="1" x14ac:dyDescent="0.25">
      <c r="A139" s="124" t="s">
        <v>53</v>
      </c>
      <c r="B139" s="125"/>
      <c r="F139" s="123" t="s">
        <v>359</v>
      </c>
      <c r="L139" s="127"/>
    </row>
    <row r="140" spans="1:12" ht="11.25" customHeight="1" thickBot="1" x14ac:dyDescent="0.25">
      <c r="A140" s="124" t="s">
        <v>44</v>
      </c>
      <c r="B140" s="113">
        <v>30</v>
      </c>
      <c r="C140" s="114" t="s">
        <v>360</v>
      </c>
      <c r="D140" s="115" t="s">
        <v>17</v>
      </c>
      <c r="E140" s="115" t="s">
        <v>46</v>
      </c>
      <c r="F140" s="115" t="s">
        <v>361</v>
      </c>
      <c r="G140" s="114" t="s">
        <v>91</v>
      </c>
      <c r="H140" s="114">
        <f>ROUND(1,3)</f>
        <v>1</v>
      </c>
      <c r="I140" s="114">
        <v>0</v>
      </c>
      <c r="J140" s="114">
        <f>ROUND(H140,3) * I140</f>
        <v>0</v>
      </c>
      <c r="K140" s="116"/>
      <c r="L140" s="117">
        <f>ROUND(ROUND(H140,3) * ROUND(K140,2),2)</f>
        <v>0</v>
      </c>
    </row>
    <row r="141" spans="1:12" x14ac:dyDescent="0.2">
      <c r="A141" s="124" t="s">
        <v>49</v>
      </c>
      <c r="B141" s="125"/>
      <c r="F141" s="119" t="s">
        <v>17</v>
      </c>
      <c r="L141" s="127"/>
    </row>
    <row r="142" spans="1:12" x14ac:dyDescent="0.2">
      <c r="A142" s="107" t="s">
        <v>51</v>
      </c>
      <c r="B142" s="125"/>
      <c r="F142" s="122" t="s">
        <v>17</v>
      </c>
      <c r="L142" s="127"/>
    </row>
    <row r="143" spans="1:12" ht="90.75" thickBot="1" x14ac:dyDescent="0.25">
      <c r="A143" s="124" t="s">
        <v>53</v>
      </c>
      <c r="B143" s="125"/>
      <c r="F143" s="123" t="s">
        <v>362</v>
      </c>
      <c r="L143" s="127"/>
    </row>
    <row r="144" spans="1:12" ht="11.25" customHeight="1" thickBot="1" x14ac:dyDescent="0.25">
      <c r="A144" s="124" t="s">
        <v>44</v>
      </c>
      <c r="B144" s="113">
        <v>31</v>
      </c>
      <c r="C144" s="114" t="s">
        <v>363</v>
      </c>
      <c r="D144" s="115" t="s">
        <v>17</v>
      </c>
      <c r="E144" s="115" t="s">
        <v>46</v>
      </c>
      <c r="F144" s="115" t="s">
        <v>364</v>
      </c>
      <c r="G144" s="114" t="s">
        <v>91</v>
      </c>
      <c r="H144" s="114">
        <f>ROUND(1,3)</f>
        <v>1</v>
      </c>
      <c r="I144" s="114">
        <v>0</v>
      </c>
      <c r="J144" s="114">
        <f>ROUND(H144,3) * I144</f>
        <v>0</v>
      </c>
      <c r="K144" s="116"/>
      <c r="L144" s="117">
        <f>ROUND(ROUND(H144,3) * ROUND(K144,2),2)</f>
        <v>0</v>
      </c>
    </row>
    <row r="145" spans="1:12" x14ac:dyDescent="0.2">
      <c r="A145" s="124" t="s">
        <v>49</v>
      </c>
      <c r="B145" s="125"/>
      <c r="F145" s="119" t="s">
        <v>17</v>
      </c>
      <c r="L145" s="127"/>
    </row>
    <row r="146" spans="1:12" x14ac:dyDescent="0.2">
      <c r="A146" s="107" t="s">
        <v>51</v>
      </c>
      <c r="B146" s="125"/>
      <c r="F146" s="122" t="s">
        <v>17</v>
      </c>
      <c r="L146" s="127"/>
    </row>
    <row r="147" spans="1:12" ht="79.5" thickBot="1" x14ac:dyDescent="0.25">
      <c r="A147" s="124" t="s">
        <v>53</v>
      </c>
      <c r="B147" s="125"/>
      <c r="F147" s="123" t="s">
        <v>365</v>
      </c>
      <c r="L147" s="127"/>
    </row>
    <row r="148" spans="1:12" ht="13.5" customHeight="1" thickBot="1" x14ac:dyDescent="0.25">
      <c r="B148" s="128" t="s">
        <v>58</v>
      </c>
      <c r="C148" s="129" t="s">
        <v>59</v>
      </c>
      <c r="D148" s="130"/>
      <c r="E148" s="130"/>
      <c r="F148" s="130" t="s">
        <v>203</v>
      </c>
      <c r="G148" s="130"/>
      <c r="H148" s="130"/>
      <c r="I148" s="130"/>
      <c r="J148" s="130"/>
      <c r="K148" s="130"/>
      <c r="L148" s="131">
        <f>SUM(L100:L147)</f>
        <v>0</v>
      </c>
    </row>
    <row r="149" spans="1:12" ht="20.100000000000001" customHeight="1" thickBot="1" x14ac:dyDescent="0.25">
      <c r="A149" s="124" t="s">
        <v>40</v>
      </c>
      <c r="B149" s="132" t="s">
        <v>41</v>
      </c>
      <c r="C149" s="109" t="s">
        <v>210</v>
      </c>
      <c r="D149" s="110"/>
      <c r="E149" s="110"/>
      <c r="F149" s="111" t="s">
        <v>211</v>
      </c>
      <c r="G149" s="110"/>
      <c r="H149" s="110"/>
      <c r="I149" s="110"/>
      <c r="J149" s="110"/>
      <c r="K149" s="110"/>
      <c r="L149" s="112"/>
    </row>
    <row r="150" spans="1:12" ht="11.25" customHeight="1" thickBot="1" x14ac:dyDescent="0.25">
      <c r="A150" s="124" t="s">
        <v>44</v>
      </c>
      <c r="B150" s="113">
        <v>32</v>
      </c>
      <c r="C150" s="114" t="s">
        <v>212</v>
      </c>
      <c r="D150" s="115" t="s">
        <v>17</v>
      </c>
      <c r="E150" s="115" t="s">
        <v>46</v>
      </c>
      <c r="F150" s="115" t="s">
        <v>213</v>
      </c>
      <c r="G150" s="114" t="s">
        <v>214</v>
      </c>
      <c r="H150" s="114">
        <f>ROUND(20,3)</f>
        <v>20</v>
      </c>
      <c r="I150" s="114">
        <v>0</v>
      </c>
      <c r="J150" s="114">
        <f>ROUND(H150,3) * I150</f>
        <v>0</v>
      </c>
      <c r="K150" s="116"/>
      <c r="L150" s="117">
        <f>ROUND(ROUND(H150,3) * ROUND(K150,2),2)</f>
        <v>0</v>
      </c>
    </row>
    <row r="151" spans="1:12" x14ac:dyDescent="0.2">
      <c r="A151" s="124" t="s">
        <v>49</v>
      </c>
      <c r="B151" s="125"/>
      <c r="F151" s="119" t="s">
        <v>17</v>
      </c>
      <c r="L151" s="127"/>
    </row>
    <row r="152" spans="1:12" x14ac:dyDescent="0.2">
      <c r="A152" s="107" t="s">
        <v>51</v>
      </c>
      <c r="B152" s="125"/>
      <c r="F152" s="122" t="s">
        <v>17</v>
      </c>
      <c r="L152" s="127"/>
    </row>
    <row r="153" spans="1:12" ht="90.75" thickBot="1" x14ac:dyDescent="0.25">
      <c r="A153" s="124" t="s">
        <v>53</v>
      </c>
      <c r="B153" s="125"/>
      <c r="F153" s="123" t="s">
        <v>215</v>
      </c>
      <c r="L153" s="127"/>
    </row>
    <row r="154" spans="1:12" ht="11.25" customHeight="1" thickBot="1" x14ac:dyDescent="0.25">
      <c r="A154" s="124" t="s">
        <v>44</v>
      </c>
      <c r="B154" s="113">
        <v>33</v>
      </c>
      <c r="C154" s="114" t="s">
        <v>216</v>
      </c>
      <c r="D154" s="115" t="s">
        <v>17</v>
      </c>
      <c r="E154" s="115" t="s">
        <v>46</v>
      </c>
      <c r="F154" s="115" t="s">
        <v>217</v>
      </c>
      <c r="G154" s="114" t="s">
        <v>214</v>
      </c>
      <c r="H154" s="114">
        <f>ROUND(40,3)</f>
        <v>40</v>
      </c>
      <c r="I154" s="114">
        <v>0</v>
      </c>
      <c r="J154" s="114">
        <f>ROUND(H154,3) * I154</f>
        <v>0</v>
      </c>
      <c r="K154" s="116"/>
      <c r="L154" s="117">
        <f>ROUND(ROUND(H154,3) * ROUND(K154,2),2)</f>
        <v>0</v>
      </c>
    </row>
    <row r="155" spans="1:12" x14ac:dyDescent="0.2">
      <c r="A155" s="124" t="s">
        <v>49</v>
      </c>
      <c r="B155" s="125"/>
      <c r="F155" s="119" t="s">
        <v>17</v>
      </c>
      <c r="L155" s="127"/>
    </row>
    <row r="156" spans="1:12" x14ac:dyDescent="0.2">
      <c r="A156" s="107" t="s">
        <v>51</v>
      </c>
      <c r="B156" s="125"/>
      <c r="F156" s="122" t="s">
        <v>17</v>
      </c>
      <c r="L156" s="127"/>
    </row>
    <row r="157" spans="1:12" ht="90.75" thickBot="1" x14ac:dyDescent="0.25">
      <c r="A157" s="124" t="s">
        <v>53</v>
      </c>
      <c r="B157" s="125"/>
      <c r="F157" s="123" t="s">
        <v>218</v>
      </c>
      <c r="L157" s="127"/>
    </row>
    <row r="158" spans="1:12" ht="11.25" customHeight="1" thickBot="1" x14ac:dyDescent="0.25">
      <c r="A158" s="124" t="s">
        <v>44</v>
      </c>
      <c r="B158" s="113">
        <v>34</v>
      </c>
      <c r="C158" s="114" t="s">
        <v>366</v>
      </c>
      <c r="D158" s="115" t="s">
        <v>17</v>
      </c>
      <c r="E158" s="115" t="s">
        <v>46</v>
      </c>
      <c r="F158" s="115" t="s">
        <v>367</v>
      </c>
      <c r="G158" s="114" t="s">
        <v>91</v>
      </c>
      <c r="H158" s="114">
        <f>ROUND(1,3)</f>
        <v>1</v>
      </c>
      <c r="I158" s="114">
        <v>0</v>
      </c>
      <c r="J158" s="114">
        <f>ROUND(H158,3) * I158</f>
        <v>0</v>
      </c>
      <c r="K158" s="116"/>
      <c r="L158" s="117">
        <f>ROUND(ROUND(H158,3) * ROUND(K158,2),2)</f>
        <v>0</v>
      </c>
    </row>
    <row r="159" spans="1:12" x14ac:dyDescent="0.2">
      <c r="A159" s="124" t="s">
        <v>49</v>
      </c>
      <c r="B159" s="125"/>
      <c r="F159" s="119" t="s">
        <v>17</v>
      </c>
      <c r="L159" s="127"/>
    </row>
    <row r="160" spans="1:12" x14ac:dyDescent="0.2">
      <c r="A160" s="107" t="s">
        <v>51</v>
      </c>
      <c r="B160" s="125"/>
      <c r="F160" s="122" t="s">
        <v>17</v>
      </c>
      <c r="L160" s="127"/>
    </row>
    <row r="161" spans="1:12" ht="90.75" thickBot="1" x14ac:dyDescent="0.25">
      <c r="A161" s="124" t="s">
        <v>53</v>
      </c>
      <c r="B161" s="125"/>
      <c r="F161" s="123" t="s">
        <v>368</v>
      </c>
      <c r="L161" s="127"/>
    </row>
    <row r="162" spans="1:12" ht="11.25" customHeight="1" thickBot="1" x14ac:dyDescent="0.25">
      <c r="A162" s="124" t="s">
        <v>44</v>
      </c>
      <c r="B162" s="113">
        <v>35</v>
      </c>
      <c r="C162" s="114" t="s">
        <v>219</v>
      </c>
      <c r="D162" s="115" t="s">
        <v>17</v>
      </c>
      <c r="E162" s="115" t="s">
        <v>46</v>
      </c>
      <c r="F162" s="115" t="s">
        <v>220</v>
      </c>
      <c r="G162" s="114" t="s">
        <v>214</v>
      </c>
      <c r="H162" s="114">
        <f>ROUND(40,3)</f>
        <v>40</v>
      </c>
      <c r="I162" s="114">
        <v>0</v>
      </c>
      <c r="J162" s="114">
        <f>ROUND(H162,3) * I162</f>
        <v>0</v>
      </c>
      <c r="K162" s="116"/>
      <c r="L162" s="117">
        <f>ROUND(ROUND(H162,3) * ROUND(K162,2),2)</f>
        <v>0</v>
      </c>
    </row>
    <row r="163" spans="1:12" x14ac:dyDescent="0.2">
      <c r="A163" s="124" t="s">
        <v>49</v>
      </c>
      <c r="B163" s="125"/>
      <c r="F163" s="119" t="s">
        <v>17</v>
      </c>
      <c r="L163" s="127"/>
    </row>
    <row r="164" spans="1:12" x14ac:dyDescent="0.2">
      <c r="A164" s="107" t="s">
        <v>51</v>
      </c>
      <c r="B164" s="125"/>
      <c r="F164" s="122" t="s">
        <v>17</v>
      </c>
      <c r="L164" s="127"/>
    </row>
    <row r="165" spans="1:12" ht="102" thickBot="1" x14ac:dyDescent="0.25">
      <c r="A165" s="124" t="s">
        <v>53</v>
      </c>
      <c r="B165" s="125"/>
      <c r="F165" s="123" t="s">
        <v>221</v>
      </c>
      <c r="L165" s="127"/>
    </row>
    <row r="166" spans="1:12" ht="11.25" customHeight="1" thickBot="1" x14ac:dyDescent="0.25">
      <c r="A166" s="124" t="s">
        <v>44</v>
      </c>
      <c r="B166" s="113">
        <v>36</v>
      </c>
      <c r="C166" s="114" t="s">
        <v>222</v>
      </c>
      <c r="D166" s="115" t="s">
        <v>17</v>
      </c>
      <c r="E166" s="115" t="s">
        <v>46</v>
      </c>
      <c r="F166" s="115" t="s">
        <v>223</v>
      </c>
      <c r="G166" s="114" t="s">
        <v>91</v>
      </c>
      <c r="H166" s="114">
        <f>ROUND(1,3)</f>
        <v>1</v>
      </c>
      <c r="I166" s="114">
        <v>0</v>
      </c>
      <c r="J166" s="114">
        <f>ROUND(H166,3) * I166</f>
        <v>0</v>
      </c>
      <c r="K166" s="116"/>
      <c r="L166" s="117">
        <f>ROUND(ROUND(H166,3) * ROUND(K166,2),2)</f>
        <v>0</v>
      </c>
    </row>
    <row r="167" spans="1:12" x14ac:dyDescent="0.2">
      <c r="A167" s="124" t="s">
        <v>49</v>
      </c>
      <c r="B167" s="125"/>
      <c r="F167" s="119" t="s">
        <v>17</v>
      </c>
      <c r="L167" s="127"/>
    </row>
    <row r="168" spans="1:12" x14ac:dyDescent="0.2">
      <c r="A168" s="107" t="s">
        <v>51</v>
      </c>
      <c r="B168" s="125"/>
      <c r="F168" s="122" t="s">
        <v>17</v>
      </c>
      <c r="L168" s="127"/>
    </row>
    <row r="169" spans="1:12" ht="68.25" thickBot="1" x14ac:dyDescent="0.25">
      <c r="A169" s="124" t="s">
        <v>53</v>
      </c>
      <c r="B169" s="125"/>
      <c r="F169" s="123" t="s">
        <v>369</v>
      </c>
      <c r="L169" s="127"/>
    </row>
    <row r="170" spans="1:12" ht="13.5" customHeight="1" thickBot="1" x14ac:dyDescent="0.25">
      <c r="B170" s="128" t="s">
        <v>58</v>
      </c>
      <c r="C170" s="129" t="s">
        <v>59</v>
      </c>
      <c r="D170" s="130"/>
      <c r="E170" s="130"/>
      <c r="F170" s="130" t="s">
        <v>211</v>
      </c>
      <c r="G170" s="130"/>
      <c r="H170" s="130"/>
      <c r="I170" s="130"/>
      <c r="J170" s="130"/>
      <c r="K170" s="130"/>
      <c r="L170" s="131">
        <f>SUM(L150:L169)</f>
        <v>0</v>
      </c>
    </row>
    <row r="171" spans="1:12" ht="20.100000000000001" customHeight="1" thickBot="1" x14ac:dyDescent="0.25">
      <c r="A171" s="124" t="s">
        <v>40</v>
      </c>
      <c r="B171" s="132" t="s">
        <v>41</v>
      </c>
      <c r="C171" s="109" t="s">
        <v>382</v>
      </c>
      <c r="D171" s="110"/>
      <c r="E171" s="110"/>
      <c r="F171" s="111" t="s">
        <v>383</v>
      </c>
      <c r="G171" s="110"/>
      <c r="H171" s="110"/>
      <c r="I171" s="110"/>
      <c r="J171" s="110"/>
      <c r="K171" s="110"/>
      <c r="L171" s="112"/>
    </row>
    <row r="172" spans="1:12" ht="11.25" customHeight="1" thickBot="1" x14ac:dyDescent="0.25">
      <c r="A172" s="124" t="s">
        <v>44</v>
      </c>
      <c r="B172" s="113">
        <v>37</v>
      </c>
      <c r="C172" s="114" t="s">
        <v>384</v>
      </c>
      <c r="D172" s="115" t="s">
        <v>17</v>
      </c>
      <c r="E172" s="115" t="s">
        <v>46</v>
      </c>
      <c r="F172" s="115" t="s">
        <v>385</v>
      </c>
      <c r="G172" s="114" t="s">
        <v>91</v>
      </c>
      <c r="H172" s="114">
        <f>ROUND(2,3)</f>
        <v>2</v>
      </c>
      <c r="I172" s="114">
        <v>0</v>
      </c>
      <c r="J172" s="114">
        <f>ROUND(H172,3) * I172</f>
        <v>0</v>
      </c>
      <c r="K172" s="116"/>
      <c r="L172" s="117">
        <f>ROUND(ROUND(H172,3) * ROUND(K172,2),2)</f>
        <v>0</v>
      </c>
    </row>
    <row r="173" spans="1:12" x14ac:dyDescent="0.2">
      <c r="A173" s="124" t="s">
        <v>49</v>
      </c>
      <c r="B173" s="125"/>
      <c r="F173" s="119" t="s">
        <v>17</v>
      </c>
      <c r="L173" s="127"/>
    </row>
    <row r="174" spans="1:12" x14ac:dyDescent="0.2">
      <c r="A174" s="107" t="s">
        <v>51</v>
      </c>
      <c r="B174" s="125"/>
      <c r="F174" s="122" t="s">
        <v>17</v>
      </c>
      <c r="L174" s="127"/>
    </row>
    <row r="175" spans="1:12" ht="12" thickBot="1" x14ac:dyDescent="0.25">
      <c r="A175" s="124" t="s">
        <v>53</v>
      </c>
      <c r="B175" s="125"/>
      <c r="F175" s="123" t="s">
        <v>386</v>
      </c>
      <c r="L175" s="127"/>
    </row>
    <row r="176" spans="1:12" ht="11.25" customHeight="1" thickBot="1" x14ac:dyDescent="0.25">
      <c r="A176" s="124" t="s">
        <v>44</v>
      </c>
      <c r="B176" s="113">
        <v>38</v>
      </c>
      <c r="C176" s="114" t="s">
        <v>387</v>
      </c>
      <c r="D176" s="115" t="s">
        <v>17</v>
      </c>
      <c r="E176" s="115" t="s">
        <v>46</v>
      </c>
      <c r="F176" s="115" t="s">
        <v>388</v>
      </c>
      <c r="G176" s="114" t="s">
        <v>91</v>
      </c>
      <c r="H176" s="114">
        <f>ROUND(2,3)</f>
        <v>2</v>
      </c>
      <c r="I176" s="114">
        <v>0</v>
      </c>
      <c r="J176" s="114">
        <f>ROUND(H176,3) * I176</f>
        <v>0</v>
      </c>
      <c r="K176" s="116"/>
      <c r="L176" s="117">
        <f>ROUND(ROUND(H176,3) * ROUND(K176,2),2)</f>
        <v>0</v>
      </c>
    </row>
    <row r="177" spans="1:12" x14ac:dyDescent="0.2">
      <c r="A177" s="124" t="s">
        <v>49</v>
      </c>
      <c r="B177" s="125"/>
      <c r="F177" s="119" t="s">
        <v>17</v>
      </c>
      <c r="L177" s="127"/>
    </row>
    <row r="178" spans="1:12" x14ac:dyDescent="0.2">
      <c r="A178" s="107" t="s">
        <v>51</v>
      </c>
      <c r="B178" s="125"/>
      <c r="F178" s="122" t="s">
        <v>17</v>
      </c>
      <c r="L178" s="127"/>
    </row>
    <row r="179" spans="1:12" ht="23.25" thickBot="1" x14ac:dyDescent="0.25">
      <c r="A179" s="124" t="s">
        <v>53</v>
      </c>
      <c r="B179" s="125"/>
      <c r="F179" s="123" t="s">
        <v>389</v>
      </c>
      <c r="L179" s="127"/>
    </row>
    <row r="180" spans="1:12" ht="11.25" customHeight="1" thickBot="1" x14ac:dyDescent="0.25">
      <c r="A180" s="124" t="s">
        <v>44</v>
      </c>
      <c r="B180" s="113">
        <v>39</v>
      </c>
      <c r="C180" s="114" t="s">
        <v>390</v>
      </c>
      <c r="D180" s="115" t="s">
        <v>17</v>
      </c>
      <c r="E180" s="115" t="s">
        <v>46</v>
      </c>
      <c r="F180" s="115" t="s">
        <v>391</v>
      </c>
      <c r="G180" s="114" t="s">
        <v>392</v>
      </c>
      <c r="H180" s="114">
        <f>ROUND(1,3)</f>
        <v>1</v>
      </c>
      <c r="I180" s="114">
        <v>0</v>
      </c>
      <c r="J180" s="114">
        <f>ROUND(H180,3) * I180</f>
        <v>0</v>
      </c>
      <c r="K180" s="116"/>
      <c r="L180" s="117">
        <f>ROUND(ROUND(H180,3) * ROUND(K180,2),2)</f>
        <v>0</v>
      </c>
    </row>
    <row r="181" spans="1:12" x14ac:dyDescent="0.2">
      <c r="A181" s="124" t="s">
        <v>49</v>
      </c>
      <c r="B181" s="125"/>
      <c r="F181" s="119" t="s">
        <v>17</v>
      </c>
      <c r="L181" s="127"/>
    </row>
    <row r="182" spans="1:12" x14ac:dyDescent="0.2">
      <c r="A182" s="107" t="s">
        <v>51</v>
      </c>
      <c r="B182" s="125"/>
      <c r="F182" s="122" t="s">
        <v>17</v>
      </c>
      <c r="L182" s="127"/>
    </row>
    <row r="183" spans="1:12" ht="23.25" thickBot="1" x14ac:dyDescent="0.25">
      <c r="A183" s="124" t="s">
        <v>53</v>
      </c>
      <c r="B183" s="125"/>
      <c r="F183" s="123" t="s">
        <v>393</v>
      </c>
      <c r="L183" s="127"/>
    </row>
    <row r="184" spans="1:12" ht="11.25" customHeight="1" thickBot="1" x14ac:dyDescent="0.25">
      <c r="A184" s="124" t="s">
        <v>44</v>
      </c>
      <c r="B184" s="113">
        <v>40</v>
      </c>
      <c r="C184" s="114" t="s">
        <v>413</v>
      </c>
      <c r="D184" s="115" t="s">
        <v>17</v>
      </c>
      <c r="E184" s="115" t="s">
        <v>46</v>
      </c>
      <c r="F184" s="115" t="s">
        <v>414</v>
      </c>
      <c r="G184" s="114" t="s">
        <v>91</v>
      </c>
      <c r="H184" s="114">
        <f>ROUND(2,3)</f>
        <v>2</v>
      </c>
      <c r="I184" s="114">
        <v>0</v>
      </c>
      <c r="J184" s="114">
        <f>ROUND(H184,3) * I184</f>
        <v>0</v>
      </c>
      <c r="K184" s="116"/>
      <c r="L184" s="117">
        <f>ROUND(ROUND(H184,3) * ROUND(K184,2),2)</f>
        <v>0</v>
      </c>
    </row>
    <row r="185" spans="1:12" x14ac:dyDescent="0.2">
      <c r="A185" s="124" t="s">
        <v>49</v>
      </c>
      <c r="B185" s="125"/>
      <c r="F185" s="119" t="s">
        <v>17</v>
      </c>
      <c r="L185" s="127"/>
    </row>
    <row r="186" spans="1:12" x14ac:dyDescent="0.2">
      <c r="A186" s="107" t="s">
        <v>51</v>
      </c>
      <c r="B186" s="125"/>
      <c r="F186" s="122" t="s">
        <v>17</v>
      </c>
      <c r="L186" s="127"/>
    </row>
    <row r="187" spans="1:12" ht="68.25" thickBot="1" x14ac:dyDescent="0.25">
      <c r="A187" s="124" t="s">
        <v>53</v>
      </c>
      <c r="B187" s="125"/>
      <c r="F187" s="123" t="s">
        <v>415</v>
      </c>
      <c r="L187" s="127"/>
    </row>
    <row r="188" spans="1:12" ht="11.25" customHeight="1" thickBot="1" x14ac:dyDescent="0.25">
      <c r="A188" s="124" t="s">
        <v>44</v>
      </c>
      <c r="B188" s="113">
        <v>41</v>
      </c>
      <c r="C188" s="114" t="s">
        <v>416</v>
      </c>
      <c r="D188" s="115" t="s">
        <v>17</v>
      </c>
      <c r="E188" s="115" t="s">
        <v>46</v>
      </c>
      <c r="F188" s="115" t="s">
        <v>417</v>
      </c>
      <c r="G188" s="114" t="s">
        <v>91</v>
      </c>
      <c r="H188" s="114">
        <f>ROUND(2,3)</f>
        <v>2</v>
      </c>
      <c r="I188" s="114">
        <v>0</v>
      </c>
      <c r="J188" s="114">
        <f>ROUND(H188,3) * I188</f>
        <v>0</v>
      </c>
      <c r="K188" s="116"/>
      <c r="L188" s="117">
        <f>ROUND(ROUND(H188,3) * ROUND(K188,2),2)</f>
        <v>0</v>
      </c>
    </row>
    <row r="189" spans="1:12" x14ac:dyDescent="0.2">
      <c r="A189" s="124" t="s">
        <v>49</v>
      </c>
      <c r="B189" s="125"/>
      <c r="F189" s="119" t="s">
        <v>17</v>
      </c>
      <c r="L189" s="127"/>
    </row>
    <row r="190" spans="1:12" x14ac:dyDescent="0.2">
      <c r="A190" s="107" t="s">
        <v>51</v>
      </c>
      <c r="B190" s="125"/>
      <c r="F190" s="122" t="s">
        <v>17</v>
      </c>
      <c r="L190" s="127"/>
    </row>
    <row r="191" spans="1:12" ht="102" thickBot="1" x14ac:dyDescent="0.25">
      <c r="A191" s="124" t="s">
        <v>53</v>
      </c>
      <c r="B191" s="125"/>
      <c r="F191" s="123" t="s">
        <v>418</v>
      </c>
      <c r="L191" s="127"/>
    </row>
    <row r="192" spans="1:12" ht="11.25" customHeight="1" thickBot="1" x14ac:dyDescent="0.25">
      <c r="A192" s="124" t="s">
        <v>44</v>
      </c>
      <c r="B192" s="113">
        <v>42</v>
      </c>
      <c r="C192" s="114" t="s">
        <v>419</v>
      </c>
      <c r="D192" s="115" t="s">
        <v>17</v>
      </c>
      <c r="E192" s="115" t="s">
        <v>46</v>
      </c>
      <c r="F192" s="115" t="s">
        <v>420</v>
      </c>
      <c r="G192" s="114" t="s">
        <v>91</v>
      </c>
      <c r="H192" s="114">
        <f>ROUND(1,3)</f>
        <v>1</v>
      </c>
      <c r="I192" s="114">
        <v>0</v>
      </c>
      <c r="J192" s="114">
        <f>ROUND(H192,3) * I192</f>
        <v>0</v>
      </c>
      <c r="K192" s="116"/>
      <c r="L192" s="117">
        <f>ROUND(ROUND(H192,3) * ROUND(K192,2),2)</f>
        <v>0</v>
      </c>
    </row>
    <row r="193" spans="1:12" x14ac:dyDescent="0.2">
      <c r="A193" s="124" t="s">
        <v>49</v>
      </c>
      <c r="B193" s="125"/>
      <c r="F193" s="119" t="s">
        <v>17</v>
      </c>
      <c r="L193" s="127"/>
    </row>
    <row r="194" spans="1:12" x14ac:dyDescent="0.2">
      <c r="A194" s="107" t="s">
        <v>51</v>
      </c>
      <c r="B194" s="125"/>
      <c r="F194" s="122" t="s">
        <v>17</v>
      </c>
      <c r="L194" s="127"/>
    </row>
    <row r="195" spans="1:12" ht="102" thickBot="1" x14ac:dyDescent="0.25">
      <c r="A195" s="124" t="s">
        <v>53</v>
      </c>
      <c r="B195" s="125"/>
      <c r="F195" s="123" t="s">
        <v>421</v>
      </c>
      <c r="L195" s="127"/>
    </row>
    <row r="196" spans="1:12" ht="13.5" customHeight="1" thickBot="1" x14ac:dyDescent="0.25">
      <c r="B196" s="128" t="s">
        <v>58</v>
      </c>
      <c r="C196" s="129" t="s">
        <v>59</v>
      </c>
      <c r="D196" s="130"/>
      <c r="E196" s="130"/>
      <c r="F196" s="130" t="s">
        <v>383</v>
      </c>
      <c r="G196" s="130"/>
      <c r="H196" s="130"/>
      <c r="I196" s="130"/>
      <c r="J196" s="130"/>
      <c r="K196" s="130"/>
      <c r="L196" s="131">
        <f>SUM(L172:L195)</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202" priority="1">
      <formula>$E$5="Ostatní"</formula>
    </cfRule>
    <cfRule type="expression" dxfId="201"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7F2BF4B1-67F9-4BED-8FA6-A0FAC9CDD43B}"/>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73040027-10FF-4AF2-89D6-F51B98D7CCC6}">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B384610C-AC11-4C5F-90BB-5AB9C0E955EA}">
      <formula1>42370</formula1>
      <formula2>55153</formula2>
    </dataValidation>
    <dataValidation allowBlank="1" showInputMessage="1" showErrorMessage="1" promptTitle="S-kód" prompt="Číslo pod kterým je stavba evidovaná v systému SŽDC." sqref="K6" xr:uid="{449EB442-A785-4B8E-9F29-F56808F3B5C2}"/>
    <dataValidation type="date" allowBlank="1" showInputMessage="1" showErrorMessage="1" errorTitle="Špatný datum" error="Datum musí být v rozmezí_x000a_od 1.1.2016_x000a_do 31.12.2050" promptTitle="Vložit datum" prompt="ve formátu: dd.mm.rrrr" sqref="K8" xr:uid="{D4384A10-CD8B-4F55-BF3B-17AAB2DD9FC7}">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223CF8E5-24B4-44DD-87BB-E0EFE0C8F810}">
      <formula1>"801,802,803,811,812, 813, 814,815, 817, 821,822, 823,824,825,826,827,828,831,832,833,838,839"</formula1>
    </dataValidation>
    <dataValidation type="list" allowBlank="1" showInputMessage="1" showErrorMessage="1" promptTitle="Výběr stádia dle seznamu:" prompt="Stádium 3_x000a_Stádium 2" sqref="E5" xr:uid="{69861502-65FA-48CA-9E82-FA4DB2D6EFF5}">
      <formula1>"Stádium 2,Stádium 3"</formula1>
    </dataValidation>
    <dataValidation type="date" allowBlank="1" showInputMessage="1" showErrorMessage="1" sqref="L8" xr:uid="{3BADFC5C-9AC0-4E6F-9EB3-0CB5334EBA55}">
      <formula1>42370</formula1>
      <formula2>55153</formula2>
    </dataValidation>
    <dataValidation type="list" allowBlank="1" showInputMessage="1" showErrorMessage="1" sqref="E6" xr:uid="{3AAC7874-8AF8-44B1-8970-6F48A6E62FCC}">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597BE-3FFB-4087-ADBE-1E25C5363256}">
  <sheetPr codeName="List5">
    <pageSetUpPr fitToPage="1"/>
  </sheetPr>
  <dimension ref="A1:O86"/>
  <sheetViews>
    <sheetView showGridLines="0" topLeftCell="B1" zoomScale="85" zoomScaleNormal="85" zoomScaleSheetLayoutView="85" workbookViewId="0">
      <pane ySplit="12" topLeftCell="A78" activePane="bottomLeft" state="frozen"/>
      <selection activeCell="B1" sqref="B1"/>
      <selection pane="bottomLeft" activeCell="R10" sqref="R10"/>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448</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448</v>
      </c>
      <c r="E3" s="79"/>
      <c r="F3" s="80" t="s">
        <v>449</v>
      </c>
      <c r="G3" s="81"/>
      <c r="H3" s="82"/>
      <c r="I3" s="83"/>
      <c r="J3" s="84"/>
      <c r="K3" s="248"/>
      <c r="L3" s="249"/>
    </row>
    <row r="4" spans="1:15" s="67" customFormat="1" ht="18" customHeight="1" thickTop="1" x14ac:dyDescent="0.25">
      <c r="B4" s="256" t="s">
        <v>8</v>
      </c>
      <c r="C4" s="245"/>
      <c r="D4" s="253"/>
      <c r="E4" s="85" t="s">
        <v>424</v>
      </c>
      <c r="F4" s="86" t="str">
        <f>INDEX('[4]Kategorie monitoringu'!A1:B34,MATCH(E4,'[4]Kategorie monitoringu'!A1:A34,0),2)</f>
        <v xml:space="preserve"> Kolejový svršek a spodek </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425</v>
      </c>
      <c r="D13" s="110"/>
      <c r="E13" s="110"/>
      <c r="F13" s="111" t="s">
        <v>426</v>
      </c>
      <c r="G13" s="110"/>
      <c r="H13" s="110"/>
      <c r="I13" s="110"/>
      <c r="J13" s="110"/>
      <c r="K13" s="110"/>
      <c r="L13" s="112"/>
    </row>
    <row r="14" spans="1:15" s="107" customFormat="1" ht="11.25" customHeight="1" thickBot="1" x14ac:dyDescent="0.3">
      <c r="A14" s="107" t="s">
        <v>44</v>
      </c>
      <c r="B14" s="113">
        <v>1</v>
      </c>
      <c r="C14" s="114" t="s">
        <v>450</v>
      </c>
      <c r="D14" s="115" t="s">
        <v>60</v>
      </c>
      <c r="E14" s="115" t="s">
        <v>46</v>
      </c>
      <c r="F14" s="115" t="s">
        <v>451</v>
      </c>
      <c r="G14" s="114" t="s">
        <v>64</v>
      </c>
      <c r="H14" s="114">
        <f>ROUND(56.882,3)</f>
        <v>56.881999999999998</v>
      </c>
      <c r="I14" s="114">
        <v>0</v>
      </c>
      <c r="J14" s="114">
        <f>ROUND(H14,3) * I14</f>
        <v>0</v>
      </c>
      <c r="K14" s="116"/>
      <c r="L14" s="117">
        <f>ROUND(ROUND(H14,3) * ROUND(K14,2),2)</f>
        <v>0</v>
      </c>
    </row>
    <row r="15" spans="1:15" s="107" customFormat="1" x14ac:dyDescent="0.25">
      <c r="A15" s="107" t="s">
        <v>49</v>
      </c>
      <c r="B15" s="118"/>
      <c r="F15" s="119" t="s">
        <v>17</v>
      </c>
      <c r="G15" s="120"/>
      <c r="H15" s="120"/>
      <c r="I15" s="120"/>
      <c r="J15" s="120"/>
      <c r="K15" s="120"/>
      <c r="L15" s="121"/>
    </row>
    <row r="16" spans="1:15" s="107" customFormat="1" x14ac:dyDescent="0.25">
      <c r="A16" s="107" t="s">
        <v>51</v>
      </c>
      <c r="B16" s="118"/>
      <c r="F16" s="122" t="s">
        <v>452</v>
      </c>
      <c r="G16" s="120"/>
      <c r="H16" s="120"/>
      <c r="I16" s="120"/>
      <c r="J16" s="120"/>
      <c r="K16" s="120"/>
      <c r="L16" s="121"/>
    </row>
    <row r="17" spans="1:12" s="107" customFormat="1" ht="68.25" thickBot="1" x14ac:dyDescent="0.3">
      <c r="A17" s="107" t="s">
        <v>53</v>
      </c>
      <c r="B17" s="118"/>
      <c r="F17" s="123" t="s">
        <v>430</v>
      </c>
      <c r="G17" s="120"/>
      <c r="H17" s="120"/>
      <c r="I17" s="120"/>
      <c r="J17" s="120"/>
      <c r="K17" s="120"/>
      <c r="L17" s="121"/>
    </row>
    <row r="18" spans="1:12" ht="11.25" customHeight="1" thickBot="1" x14ac:dyDescent="0.25">
      <c r="A18" s="124" t="s">
        <v>44</v>
      </c>
      <c r="B18" s="113">
        <v>2</v>
      </c>
      <c r="C18" s="114" t="s">
        <v>453</v>
      </c>
      <c r="D18" s="115" t="s">
        <v>60</v>
      </c>
      <c r="E18" s="115" t="s">
        <v>46</v>
      </c>
      <c r="F18" s="115" t="s">
        <v>454</v>
      </c>
      <c r="G18" s="114" t="s">
        <v>64</v>
      </c>
      <c r="H18" s="114">
        <f>ROUND(11.376,3)</f>
        <v>11.375999999999999</v>
      </c>
      <c r="I18" s="114">
        <v>0</v>
      </c>
      <c r="J18" s="114">
        <f>ROUND(H18,3) * I18</f>
        <v>0</v>
      </c>
      <c r="K18" s="116"/>
      <c r="L18" s="117">
        <f>ROUND(ROUND(H18,3) * ROUND(K18,2),2)</f>
        <v>0</v>
      </c>
    </row>
    <row r="19" spans="1:12" x14ac:dyDescent="0.2">
      <c r="A19" s="124" t="s">
        <v>49</v>
      </c>
      <c r="B19" s="125"/>
      <c r="F19" s="119" t="s">
        <v>455</v>
      </c>
      <c r="L19" s="127"/>
    </row>
    <row r="20" spans="1:12" x14ac:dyDescent="0.2">
      <c r="A20" s="107" t="s">
        <v>51</v>
      </c>
      <c r="B20" s="125"/>
      <c r="F20" s="122" t="s">
        <v>456</v>
      </c>
      <c r="L20" s="127"/>
    </row>
    <row r="21" spans="1:12" ht="259.5" thickBot="1" x14ac:dyDescent="0.25">
      <c r="A21" s="124" t="s">
        <v>53</v>
      </c>
      <c r="B21" s="125"/>
      <c r="F21" s="123" t="s">
        <v>457</v>
      </c>
      <c r="L21" s="127"/>
    </row>
    <row r="22" spans="1:12" ht="11.25" customHeight="1" thickBot="1" x14ac:dyDescent="0.25">
      <c r="A22" s="124" t="s">
        <v>44</v>
      </c>
      <c r="B22" s="113">
        <v>3</v>
      </c>
      <c r="C22" s="114" t="s">
        <v>458</v>
      </c>
      <c r="D22" s="115" t="s">
        <v>60</v>
      </c>
      <c r="E22" s="115" t="s">
        <v>46</v>
      </c>
      <c r="F22" s="115" t="s">
        <v>459</v>
      </c>
      <c r="G22" s="114" t="s">
        <v>69</v>
      </c>
      <c r="H22" s="114">
        <f>ROUND(26.84,3)</f>
        <v>26.84</v>
      </c>
      <c r="I22" s="114">
        <v>0</v>
      </c>
      <c r="J22" s="114">
        <f>ROUND(H22,3) * I22</f>
        <v>0</v>
      </c>
      <c r="K22" s="116"/>
      <c r="L22" s="117">
        <f>ROUND(ROUND(H22,3) * ROUND(K22,2),2)</f>
        <v>0</v>
      </c>
    </row>
    <row r="23" spans="1:12" x14ac:dyDescent="0.2">
      <c r="A23" s="124" t="s">
        <v>49</v>
      </c>
      <c r="B23" s="125"/>
      <c r="F23" s="119" t="s">
        <v>17</v>
      </c>
      <c r="L23" s="127"/>
    </row>
    <row r="24" spans="1:12" x14ac:dyDescent="0.2">
      <c r="A24" s="107" t="s">
        <v>51</v>
      </c>
      <c r="B24" s="125"/>
      <c r="F24" s="122" t="s">
        <v>460</v>
      </c>
      <c r="L24" s="127"/>
    </row>
    <row r="25" spans="1:12" ht="248.25" thickBot="1" x14ac:dyDescent="0.25">
      <c r="A25" s="124" t="s">
        <v>53</v>
      </c>
      <c r="B25" s="125"/>
      <c r="F25" s="123" t="s">
        <v>461</v>
      </c>
      <c r="L25" s="127"/>
    </row>
    <row r="26" spans="1:12" ht="11.25" customHeight="1" thickBot="1" x14ac:dyDescent="0.25">
      <c r="A26" s="124" t="s">
        <v>44</v>
      </c>
      <c r="B26" s="113">
        <v>4</v>
      </c>
      <c r="C26" s="114" t="s">
        <v>462</v>
      </c>
      <c r="D26" s="115" t="s">
        <v>60</v>
      </c>
      <c r="E26" s="115" t="s">
        <v>46</v>
      </c>
      <c r="F26" s="115" t="s">
        <v>463</v>
      </c>
      <c r="G26" s="114" t="s">
        <v>69</v>
      </c>
      <c r="H26" s="114">
        <f>ROUND(153.826,3)</f>
        <v>153.82599999999999</v>
      </c>
      <c r="I26" s="114">
        <v>0</v>
      </c>
      <c r="J26" s="114">
        <f>ROUND(H26,3) * I26</f>
        <v>0</v>
      </c>
      <c r="K26" s="116"/>
      <c r="L26" s="117">
        <f>ROUND(ROUND(H26,3) * ROUND(K26,2),2)</f>
        <v>0</v>
      </c>
    </row>
    <row r="27" spans="1:12" x14ac:dyDescent="0.2">
      <c r="A27" s="124" t="s">
        <v>49</v>
      </c>
      <c r="B27" s="125"/>
      <c r="F27" s="119" t="s">
        <v>17</v>
      </c>
      <c r="L27" s="127"/>
    </row>
    <row r="28" spans="1:12" x14ac:dyDescent="0.2">
      <c r="A28" s="107" t="s">
        <v>51</v>
      </c>
      <c r="B28" s="125"/>
      <c r="F28" s="122" t="s">
        <v>464</v>
      </c>
      <c r="L28" s="127"/>
    </row>
    <row r="29" spans="1:12" ht="102" thickBot="1" x14ac:dyDescent="0.25">
      <c r="A29" s="124" t="s">
        <v>53</v>
      </c>
      <c r="B29" s="125"/>
      <c r="F29" s="123" t="s">
        <v>465</v>
      </c>
      <c r="L29" s="127"/>
    </row>
    <row r="30" spans="1:12" ht="11.25" customHeight="1" thickBot="1" x14ac:dyDescent="0.25">
      <c r="A30" s="124" t="s">
        <v>44</v>
      </c>
      <c r="B30" s="113">
        <v>5</v>
      </c>
      <c r="C30" s="114" t="s">
        <v>466</v>
      </c>
      <c r="D30" s="115" t="s">
        <v>60</v>
      </c>
      <c r="E30" s="115" t="s">
        <v>46</v>
      </c>
      <c r="F30" s="115" t="s">
        <v>467</v>
      </c>
      <c r="G30" s="114" t="s">
        <v>69</v>
      </c>
      <c r="H30" s="114">
        <f>ROUND(185.2,3)</f>
        <v>185.2</v>
      </c>
      <c r="I30" s="114">
        <v>0</v>
      </c>
      <c r="J30" s="114">
        <f>ROUND(H30,3) * I30</f>
        <v>0</v>
      </c>
      <c r="K30" s="116"/>
      <c r="L30" s="117">
        <f>ROUND(ROUND(H30,3) * ROUND(K30,2),2)</f>
        <v>0</v>
      </c>
    </row>
    <row r="31" spans="1:12" x14ac:dyDescent="0.2">
      <c r="A31" s="124" t="s">
        <v>49</v>
      </c>
      <c r="B31" s="125"/>
      <c r="F31" s="119" t="s">
        <v>17</v>
      </c>
      <c r="L31" s="127"/>
    </row>
    <row r="32" spans="1:12" x14ac:dyDescent="0.2">
      <c r="A32" s="107" t="s">
        <v>51</v>
      </c>
      <c r="B32" s="125"/>
      <c r="F32" s="122" t="s">
        <v>468</v>
      </c>
      <c r="L32" s="127"/>
    </row>
    <row r="33" spans="1:12" ht="102" thickBot="1" x14ac:dyDescent="0.25">
      <c r="A33" s="124" t="s">
        <v>53</v>
      </c>
      <c r="B33" s="125"/>
      <c r="F33" s="123" t="s">
        <v>465</v>
      </c>
      <c r="L33" s="127"/>
    </row>
    <row r="34" spans="1:12" ht="11.25" customHeight="1" thickBot="1" x14ac:dyDescent="0.25">
      <c r="A34" s="124" t="s">
        <v>44</v>
      </c>
      <c r="B34" s="113">
        <v>6</v>
      </c>
      <c r="C34" s="114" t="s">
        <v>469</v>
      </c>
      <c r="D34" s="115" t="s">
        <v>60</v>
      </c>
      <c r="E34" s="115" t="s">
        <v>46</v>
      </c>
      <c r="F34" s="115" t="s">
        <v>470</v>
      </c>
      <c r="G34" s="114" t="s">
        <v>91</v>
      </c>
      <c r="H34" s="114">
        <f>ROUND(4,3)</f>
        <v>4</v>
      </c>
      <c r="I34" s="114">
        <v>0</v>
      </c>
      <c r="J34" s="114">
        <f>ROUND(H34,3) * I34</f>
        <v>0</v>
      </c>
      <c r="K34" s="116"/>
      <c r="L34" s="117">
        <f>ROUND(ROUND(H34,3) * ROUND(K34,2),2)</f>
        <v>0</v>
      </c>
    </row>
    <row r="35" spans="1:12" x14ac:dyDescent="0.2">
      <c r="A35" s="124" t="s">
        <v>49</v>
      </c>
      <c r="B35" s="125"/>
      <c r="F35" s="119" t="s">
        <v>17</v>
      </c>
      <c r="L35" s="127"/>
    </row>
    <row r="36" spans="1:12" x14ac:dyDescent="0.2">
      <c r="A36" s="107" t="s">
        <v>51</v>
      </c>
      <c r="B36" s="125"/>
      <c r="F36" s="122" t="s">
        <v>471</v>
      </c>
      <c r="L36" s="127"/>
    </row>
    <row r="37" spans="1:12" ht="203.25" thickBot="1" x14ac:dyDescent="0.25">
      <c r="A37" s="124" t="s">
        <v>53</v>
      </c>
      <c r="B37" s="125"/>
      <c r="F37" s="123" t="s">
        <v>472</v>
      </c>
      <c r="L37" s="127"/>
    </row>
    <row r="38" spans="1:12" ht="11.25" customHeight="1" thickBot="1" x14ac:dyDescent="0.25">
      <c r="A38" s="124" t="s">
        <v>44</v>
      </c>
      <c r="B38" s="113">
        <v>7</v>
      </c>
      <c r="C38" s="114" t="s">
        <v>473</v>
      </c>
      <c r="D38" s="115" t="s">
        <v>60</v>
      </c>
      <c r="E38" s="115" t="s">
        <v>46</v>
      </c>
      <c r="F38" s="115" t="s">
        <v>474</v>
      </c>
      <c r="G38" s="114" t="s">
        <v>69</v>
      </c>
      <c r="H38" s="114">
        <f>ROUND(76.913,3)</f>
        <v>76.912999999999997</v>
      </c>
      <c r="I38" s="114">
        <v>0</v>
      </c>
      <c r="J38" s="114">
        <f>ROUND(H38,3) * I38</f>
        <v>0</v>
      </c>
      <c r="K38" s="116"/>
      <c r="L38" s="117">
        <f>ROUND(ROUND(H38,3) * ROUND(K38,2),2)</f>
        <v>0</v>
      </c>
    </row>
    <row r="39" spans="1:12" x14ac:dyDescent="0.2">
      <c r="A39" s="124" t="s">
        <v>49</v>
      </c>
      <c r="B39" s="125"/>
      <c r="F39" s="119" t="s">
        <v>17</v>
      </c>
      <c r="L39" s="127"/>
    </row>
    <row r="40" spans="1:12" x14ac:dyDescent="0.2">
      <c r="A40" s="107" t="s">
        <v>51</v>
      </c>
      <c r="B40" s="125"/>
      <c r="F40" s="122" t="s">
        <v>475</v>
      </c>
      <c r="L40" s="127"/>
    </row>
    <row r="41" spans="1:12" ht="147" thickBot="1" x14ac:dyDescent="0.25">
      <c r="A41" s="124" t="s">
        <v>53</v>
      </c>
      <c r="B41" s="125"/>
      <c r="F41" s="123" t="s">
        <v>476</v>
      </c>
      <c r="L41" s="127"/>
    </row>
    <row r="42" spans="1:12" ht="11.25" customHeight="1" thickBot="1" x14ac:dyDescent="0.25">
      <c r="A42" s="124" t="s">
        <v>44</v>
      </c>
      <c r="B42" s="113">
        <v>8</v>
      </c>
      <c r="C42" s="114" t="s">
        <v>477</v>
      </c>
      <c r="D42" s="115" t="s">
        <v>60</v>
      </c>
      <c r="E42" s="115" t="s">
        <v>46</v>
      </c>
      <c r="F42" s="115" t="s">
        <v>478</v>
      </c>
      <c r="G42" s="114" t="s">
        <v>69</v>
      </c>
      <c r="H42" s="114">
        <f>ROUND(92.6,3)</f>
        <v>92.6</v>
      </c>
      <c r="I42" s="114">
        <v>0</v>
      </c>
      <c r="J42" s="114">
        <f>ROUND(H42,3) * I42</f>
        <v>0</v>
      </c>
      <c r="K42" s="116"/>
      <c r="L42" s="117">
        <f>ROUND(ROUND(H42,3) * ROUND(K42,2),2)</f>
        <v>0</v>
      </c>
    </row>
    <row r="43" spans="1:12" x14ac:dyDescent="0.2">
      <c r="A43" s="124" t="s">
        <v>49</v>
      </c>
      <c r="B43" s="125"/>
      <c r="F43" s="119" t="s">
        <v>17</v>
      </c>
      <c r="L43" s="127"/>
    </row>
    <row r="44" spans="1:12" x14ac:dyDescent="0.2">
      <c r="A44" s="107" t="s">
        <v>51</v>
      </c>
      <c r="B44" s="125"/>
      <c r="F44" s="122" t="s">
        <v>479</v>
      </c>
      <c r="L44" s="127"/>
    </row>
    <row r="45" spans="1:12" ht="147" thickBot="1" x14ac:dyDescent="0.25">
      <c r="A45" s="124" t="s">
        <v>53</v>
      </c>
      <c r="B45" s="125"/>
      <c r="F45" s="123" t="s">
        <v>476</v>
      </c>
      <c r="L45" s="127"/>
    </row>
    <row r="46" spans="1:12" ht="13.5" customHeight="1" thickBot="1" x14ac:dyDescent="0.25">
      <c r="B46" s="128" t="s">
        <v>58</v>
      </c>
      <c r="C46" s="129" t="s">
        <v>59</v>
      </c>
      <c r="D46" s="130"/>
      <c r="E46" s="130"/>
      <c r="F46" s="130" t="s">
        <v>426</v>
      </c>
      <c r="G46" s="130"/>
      <c r="H46" s="130"/>
      <c r="I46" s="130"/>
      <c r="J46" s="130"/>
      <c r="K46" s="130"/>
      <c r="L46" s="131">
        <f>SUM(L14:L45)</f>
        <v>0</v>
      </c>
    </row>
    <row r="47" spans="1:12" ht="20.100000000000001" customHeight="1" thickBot="1" x14ac:dyDescent="0.25">
      <c r="A47" s="124" t="s">
        <v>40</v>
      </c>
      <c r="B47" s="132" t="s">
        <v>41</v>
      </c>
      <c r="C47" s="109" t="s">
        <v>382</v>
      </c>
      <c r="D47" s="110"/>
      <c r="E47" s="110"/>
      <c r="F47" s="111" t="s">
        <v>435</v>
      </c>
      <c r="G47" s="110"/>
      <c r="H47" s="110"/>
      <c r="I47" s="110"/>
      <c r="J47" s="110"/>
      <c r="K47" s="110"/>
      <c r="L47" s="112"/>
    </row>
    <row r="48" spans="1:12" ht="11.25" customHeight="1" thickBot="1" x14ac:dyDescent="0.25">
      <c r="A48" s="124" t="s">
        <v>44</v>
      </c>
      <c r="B48" s="113">
        <v>9</v>
      </c>
      <c r="C48" s="114" t="s">
        <v>480</v>
      </c>
      <c r="D48" s="115" t="s">
        <v>60</v>
      </c>
      <c r="E48" s="115" t="s">
        <v>46</v>
      </c>
      <c r="F48" s="115" t="s">
        <v>481</v>
      </c>
      <c r="G48" s="114" t="s">
        <v>69</v>
      </c>
      <c r="H48" s="114">
        <f>ROUND(7.8,3)</f>
        <v>7.8</v>
      </c>
      <c r="I48" s="114">
        <v>0</v>
      </c>
      <c r="J48" s="114">
        <f>ROUND(H48,3) * I48</f>
        <v>0</v>
      </c>
      <c r="K48" s="116"/>
      <c r="L48" s="117">
        <f>ROUND(ROUND(H48,3) * ROUND(K48,2),2)</f>
        <v>0</v>
      </c>
    </row>
    <row r="49" spans="1:12" x14ac:dyDescent="0.2">
      <c r="A49" s="124" t="s">
        <v>49</v>
      </c>
      <c r="B49" s="125"/>
      <c r="F49" s="119" t="s">
        <v>17</v>
      </c>
      <c r="L49" s="127"/>
    </row>
    <row r="50" spans="1:12" x14ac:dyDescent="0.2">
      <c r="A50" s="107" t="s">
        <v>51</v>
      </c>
      <c r="B50" s="125"/>
      <c r="F50" s="122" t="s">
        <v>482</v>
      </c>
      <c r="L50" s="127"/>
    </row>
    <row r="51" spans="1:12" ht="124.5" thickBot="1" x14ac:dyDescent="0.25">
      <c r="A51" s="124" t="s">
        <v>53</v>
      </c>
      <c r="B51" s="125"/>
      <c r="F51" s="123" t="s">
        <v>483</v>
      </c>
      <c r="L51" s="127"/>
    </row>
    <row r="52" spans="1:12" ht="11.25" customHeight="1" thickBot="1" x14ac:dyDescent="0.25">
      <c r="A52" s="124" t="s">
        <v>44</v>
      </c>
      <c r="B52" s="113">
        <v>10</v>
      </c>
      <c r="C52" s="114" t="s">
        <v>484</v>
      </c>
      <c r="D52" s="115" t="s">
        <v>60</v>
      </c>
      <c r="E52" s="115" t="s">
        <v>46</v>
      </c>
      <c r="F52" s="115" t="s">
        <v>485</v>
      </c>
      <c r="G52" s="114" t="s">
        <v>91</v>
      </c>
      <c r="H52" s="114">
        <f>ROUND(5,3)</f>
        <v>5</v>
      </c>
      <c r="I52" s="114">
        <v>0</v>
      </c>
      <c r="J52" s="114">
        <f>ROUND(H52,3) * I52</f>
        <v>0</v>
      </c>
      <c r="K52" s="116"/>
      <c r="L52" s="117">
        <f>ROUND(ROUND(H52,3) * ROUND(K52,2),2)</f>
        <v>0</v>
      </c>
    </row>
    <row r="53" spans="1:12" x14ac:dyDescent="0.2">
      <c r="A53" s="124" t="s">
        <v>49</v>
      </c>
      <c r="B53" s="125"/>
      <c r="F53" s="119" t="s">
        <v>17</v>
      </c>
      <c r="L53" s="127"/>
    </row>
    <row r="54" spans="1:12" x14ac:dyDescent="0.2">
      <c r="A54" s="107" t="s">
        <v>51</v>
      </c>
      <c r="B54" s="125"/>
      <c r="F54" s="122" t="s">
        <v>486</v>
      </c>
      <c r="L54" s="127"/>
    </row>
    <row r="55" spans="1:12" ht="135.75" thickBot="1" x14ac:dyDescent="0.25">
      <c r="A55" s="124" t="s">
        <v>53</v>
      </c>
      <c r="B55" s="125"/>
      <c r="F55" s="123" t="s">
        <v>487</v>
      </c>
      <c r="L55" s="127"/>
    </row>
    <row r="56" spans="1:12" ht="11.25" customHeight="1" thickBot="1" x14ac:dyDescent="0.25">
      <c r="A56" s="124" t="s">
        <v>44</v>
      </c>
      <c r="B56" s="113">
        <v>11</v>
      </c>
      <c r="C56" s="114" t="s">
        <v>488</v>
      </c>
      <c r="D56" s="115" t="s">
        <v>60</v>
      </c>
      <c r="E56" s="115" t="s">
        <v>46</v>
      </c>
      <c r="F56" s="115" t="s">
        <v>489</v>
      </c>
      <c r="G56" s="114" t="s">
        <v>64</v>
      </c>
      <c r="H56" s="114">
        <f>ROUND(56.882,3)</f>
        <v>56.881999999999998</v>
      </c>
      <c r="I56" s="114">
        <v>0</v>
      </c>
      <c r="J56" s="114">
        <f>ROUND(H56,3) * I56</f>
        <v>0</v>
      </c>
      <c r="K56" s="116"/>
      <c r="L56" s="117">
        <f>ROUND(ROUND(H56,3) * ROUND(K56,2),2)</f>
        <v>0</v>
      </c>
    </row>
    <row r="57" spans="1:12" x14ac:dyDescent="0.2">
      <c r="A57" s="124" t="s">
        <v>49</v>
      </c>
      <c r="B57" s="125"/>
      <c r="F57" s="119" t="s">
        <v>17</v>
      </c>
      <c r="L57" s="127"/>
    </row>
    <row r="58" spans="1:12" x14ac:dyDescent="0.2">
      <c r="A58" s="107" t="s">
        <v>51</v>
      </c>
      <c r="B58" s="125"/>
      <c r="F58" s="122" t="s">
        <v>490</v>
      </c>
      <c r="L58" s="127"/>
    </row>
    <row r="59" spans="1:12" ht="102" thickBot="1" x14ac:dyDescent="0.25">
      <c r="A59" s="124" t="s">
        <v>53</v>
      </c>
      <c r="B59" s="125"/>
      <c r="F59" s="123" t="s">
        <v>491</v>
      </c>
      <c r="L59" s="127"/>
    </row>
    <row r="60" spans="1:12" ht="11.25" customHeight="1" thickBot="1" x14ac:dyDescent="0.25">
      <c r="A60" s="124" t="s">
        <v>44</v>
      </c>
      <c r="B60" s="113">
        <v>12</v>
      </c>
      <c r="C60" s="114" t="s">
        <v>492</v>
      </c>
      <c r="D60" s="115" t="s">
        <v>60</v>
      </c>
      <c r="E60" s="115" t="s">
        <v>46</v>
      </c>
      <c r="F60" s="115" t="s">
        <v>493</v>
      </c>
      <c r="G60" s="114" t="s">
        <v>494</v>
      </c>
      <c r="H60" s="114">
        <f>ROUND(568.82,3)</f>
        <v>568.82000000000005</v>
      </c>
      <c r="I60" s="114">
        <v>0</v>
      </c>
      <c r="J60" s="114">
        <f>ROUND(H60,3) * I60</f>
        <v>0</v>
      </c>
      <c r="K60" s="116"/>
      <c r="L60" s="117">
        <f>ROUND(ROUND(H60,3) * ROUND(K60,2),2)</f>
        <v>0</v>
      </c>
    </row>
    <row r="61" spans="1:12" x14ac:dyDescent="0.2">
      <c r="A61" s="124" t="s">
        <v>49</v>
      </c>
      <c r="B61" s="125"/>
      <c r="F61" s="119" t="s">
        <v>17</v>
      </c>
      <c r="L61" s="127"/>
    </row>
    <row r="62" spans="1:12" x14ac:dyDescent="0.2">
      <c r="A62" s="107" t="s">
        <v>51</v>
      </c>
      <c r="B62" s="125"/>
      <c r="F62" s="122" t="s">
        <v>495</v>
      </c>
      <c r="L62" s="127"/>
    </row>
    <row r="63" spans="1:12" ht="102" thickBot="1" x14ac:dyDescent="0.25">
      <c r="A63" s="124" t="s">
        <v>53</v>
      </c>
      <c r="B63" s="125"/>
      <c r="F63" s="123" t="s">
        <v>496</v>
      </c>
      <c r="L63" s="127"/>
    </row>
    <row r="64" spans="1:12" ht="11.25" customHeight="1" thickBot="1" x14ac:dyDescent="0.25">
      <c r="A64" s="124" t="s">
        <v>44</v>
      </c>
      <c r="B64" s="113">
        <v>13</v>
      </c>
      <c r="C64" s="114" t="s">
        <v>497</v>
      </c>
      <c r="D64" s="115" t="s">
        <v>60</v>
      </c>
      <c r="E64" s="115" t="s">
        <v>46</v>
      </c>
      <c r="F64" s="115" t="s">
        <v>498</v>
      </c>
      <c r="G64" s="114" t="s">
        <v>69</v>
      </c>
      <c r="H64" s="114">
        <f>ROUND(26.84,3)</f>
        <v>26.84</v>
      </c>
      <c r="I64" s="114">
        <v>0</v>
      </c>
      <c r="J64" s="114">
        <f>ROUND(H64,3) * I64</f>
        <v>0</v>
      </c>
      <c r="K64" s="116"/>
      <c r="L64" s="117">
        <f>ROUND(ROUND(H64,3) * ROUND(K64,2),2)</f>
        <v>0</v>
      </c>
    </row>
    <row r="65" spans="1:12" x14ac:dyDescent="0.2">
      <c r="A65" s="124" t="s">
        <v>49</v>
      </c>
      <c r="B65" s="125"/>
      <c r="F65" s="119" t="s">
        <v>499</v>
      </c>
      <c r="L65" s="127"/>
    </row>
    <row r="66" spans="1:12" x14ac:dyDescent="0.2">
      <c r="A66" s="107" t="s">
        <v>51</v>
      </c>
      <c r="B66" s="125"/>
      <c r="F66" s="122" t="s">
        <v>500</v>
      </c>
      <c r="L66" s="127"/>
    </row>
    <row r="67" spans="1:12" ht="158.25" thickBot="1" x14ac:dyDescent="0.25">
      <c r="A67" s="124" t="s">
        <v>53</v>
      </c>
      <c r="B67" s="125"/>
      <c r="F67" s="123" t="s">
        <v>501</v>
      </c>
      <c r="L67" s="127"/>
    </row>
    <row r="68" spans="1:12" ht="11.25" customHeight="1" thickBot="1" x14ac:dyDescent="0.25">
      <c r="A68" s="124" t="s">
        <v>44</v>
      </c>
      <c r="B68" s="113">
        <v>14</v>
      </c>
      <c r="C68" s="114" t="s">
        <v>502</v>
      </c>
      <c r="D68" s="115" t="s">
        <v>60</v>
      </c>
      <c r="E68" s="115" t="s">
        <v>46</v>
      </c>
      <c r="F68" s="115" t="s">
        <v>503</v>
      </c>
      <c r="G68" s="114" t="s">
        <v>504</v>
      </c>
      <c r="H68" s="114">
        <f>ROUND(38.63,3)</f>
        <v>38.630000000000003</v>
      </c>
      <c r="I68" s="114">
        <v>0</v>
      </c>
      <c r="J68" s="114">
        <f>ROUND(H68,3) * I68</f>
        <v>0</v>
      </c>
      <c r="K68" s="116"/>
      <c r="L68" s="117">
        <f>ROUND(ROUND(H68,3) * ROUND(K68,2),2)</f>
        <v>0</v>
      </c>
    </row>
    <row r="69" spans="1:12" x14ac:dyDescent="0.2">
      <c r="A69" s="124" t="s">
        <v>49</v>
      </c>
      <c r="B69" s="125"/>
      <c r="F69" s="119" t="s">
        <v>17</v>
      </c>
      <c r="L69" s="127"/>
    </row>
    <row r="70" spans="1:12" x14ac:dyDescent="0.2">
      <c r="A70" s="107" t="s">
        <v>51</v>
      </c>
      <c r="B70" s="125"/>
      <c r="F70" s="122" t="s">
        <v>505</v>
      </c>
      <c r="L70" s="127"/>
    </row>
    <row r="71" spans="1:12" ht="90.75" thickBot="1" x14ac:dyDescent="0.25">
      <c r="A71" s="124" t="s">
        <v>53</v>
      </c>
      <c r="B71" s="125"/>
      <c r="F71" s="123" t="s">
        <v>506</v>
      </c>
      <c r="L71" s="127"/>
    </row>
    <row r="72" spans="1:12" ht="13.5" customHeight="1" thickBot="1" x14ac:dyDescent="0.25">
      <c r="B72" s="128" t="s">
        <v>58</v>
      </c>
      <c r="C72" s="129" t="s">
        <v>59</v>
      </c>
      <c r="D72" s="130"/>
      <c r="E72" s="130"/>
      <c r="F72" s="130" t="s">
        <v>435</v>
      </c>
      <c r="G72" s="130"/>
      <c r="H72" s="130"/>
      <c r="I72" s="130"/>
      <c r="J72" s="130"/>
      <c r="K72" s="130"/>
      <c r="L72" s="131">
        <f>SUM(L48:L71)</f>
        <v>0</v>
      </c>
    </row>
    <row r="73" spans="1:12" ht="20.100000000000001" customHeight="1" thickBot="1" x14ac:dyDescent="0.25">
      <c r="A73" s="124" t="s">
        <v>40</v>
      </c>
      <c r="B73" s="132" t="s">
        <v>41</v>
      </c>
      <c r="C73" s="109" t="s">
        <v>441</v>
      </c>
      <c r="D73" s="110"/>
      <c r="E73" s="110"/>
      <c r="F73" s="111" t="s">
        <v>442</v>
      </c>
      <c r="G73" s="110"/>
      <c r="H73" s="110"/>
      <c r="I73" s="110"/>
      <c r="J73" s="110"/>
      <c r="K73" s="110"/>
      <c r="L73" s="112"/>
    </row>
    <row r="74" spans="1:12" ht="11.25" customHeight="1" thickBot="1" x14ac:dyDescent="0.25">
      <c r="A74" s="124" t="s">
        <v>44</v>
      </c>
      <c r="B74" s="113">
        <v>15</v>
      </c>
      <c r="C74" s="114" t="s">
        <v>507</v>
      </c>
      <c r="D74" s="115" t="s">
        <v>508</v>
      </c>
      <c r="E74" s="115"/>
      <c r="F74" s="115" t="s">
        <v>509</v>
      </c>
      <c r="G74" s="114" t="s">
        <v>510</v>
      </c>
      <c r="H74" s="114">
        <f>ROUND(102.388,3)</f>
        <v>102.38800000000001</v>
      </c>
      <c r="I74" s="114">
        <v>0</v>
      </c>
      <c r="J74" s="114">
        <f>ROUND(H74,3) * I74</f>
        <v>0</v>
      </c>
      <c r="K74" s="116"/>
      <c r="L74" s="117">
        <f>ROUND(ROUND(H74,3) * ROUND(K74,2),2)</f>
        <v>0</v>
      </c>
    </row>
    <row r="75" spans="1:12" x14ac:dyDescent="0.2">
      <c r="A75" s="124" t="s">
        <v>49</v>
      </c>
      <c r="B75" s="125"/>
      <c r="F75" s="119" t="s">
        <v>511</v>
      </c>
      <c r="L75" s="127"/>
    </row>
    <row r="76" spans="1:12" x14ac:dyDescent="0.2">
      <c r="A76" s="107" t="s">
        <v>51</v>
      </c>
      <c r="B76" s="125"/>
      <c r="F76" s="122" t="s">
        <v>512</v>
      </c>
      <c r="L76" s="127"/>
    </row>
    <row r="77" spans="1:12" ht="102" thickBot="1" x14ac:dyDescent="0.25">
      <c r="A77" s="124" t="s">
        <v>53</v>
      </c>
      <c r="B77" s="125"/>
      <c r="F77" s="123" t="s">
        <v>513</v>
      </c>
      <c r="L77" s="127"/>
    </row>
    <row r="78" spans="1:12" ht="11.25" customHeight="1" thickBot="1" x14ac:dyDescent="0.25">
      <c r="A78" s="124" t="s">
        <v>44</v>
      </c>
      <c r="B78" s="113">
        <v>16</v>
      </c>
      <c r="C78" s="114" t="s">
        <v>514</v>
      </c>
      <c r="D78" s="115" t="s">
        <v>508</v>
      </c>
      <c r="E78" s="115"/>
      <c r="F78" s="115" t="s">
        <v>515</v>
      </c>
      <c r="G78" s="114" t="s">
        <v>510</v>
      </c>
      <c r="H78" s="114">
        <f>ROUND(0.007,3)</f>
        <v>7.0000000000000001E-3</v>
      </c>
      <c r="I78" s="114">
        <v>0</v>
      </c>
      <c r="J78" s="114">
        <f>ROUND(H78,3) * I78</f>
        <v>0</v>
      </c>
      <c r="K78" s="116"/>
      <c r="L78" s="117">
        <f>ROUND(ROUND(H78,3) * ROUND(K78,2),2)</f>
        <v>0</v>
      </c>
    </row>
    <row r="79" spans="1:12" x14ac:dyDescent="0.2">
      <c r="A79" s="124" t="s">
        <v>49</v>
      </c>
      <c r="B79" s="125"/>
      <c r="F79" s="119" t="s">
        <v>511</v>
      </c>
      <c r="L79" s="127"/>
    </row>
    <row r="80" spans="1:12" ht="22.5" x14ac:dyDescent="0.2">
      <c r="A80" s="107" t="s">
        <v>51</v>
      </c>
      <c r="B80" s="125"/>
      <c r="F80" s="122" t="s">
        <v>516</v>
      </c>
      <c r="L80" s="127"/>
    </row>
    <row r="81" spans="1:12" ht="102" thickBot="1" x14ac:dyDescent="0.25">
      <c r="A81" s="124" t="s">
        <v>53</v>
      </c>
      <c r="B81" s="125"/>
      <c r="F81" s="123" t="s">
        <v>513</v>
      </c>
      <c r="L81" s="127"/>
    </row>
    <row r="82" spans="1:12" ht="11.25" customHeight="1" thickBot="1" x14ac:dyDescent="0.25">
      <c r="A82" s="124" t="s">
        <v>44</v>
      </c>
      <c r="B82" s="113">
        <v>17</v>
      </c>
      <c r="C82" s="114" t="s">
        <v>517</v>
      </c>
      <c r="D82" s="115" t="s">
        <v>508</v>
      </c>
      <c r="E82" s="115"/>
      <c r="F82" s="115" t="s">
        <v>518</v>
      </c>
      <c r="G82" s="114" t="s">
        <v>510</v>
      </c>
      <c r="H82" s="114">
        <f>ROUND(3.219,3)</f>
        <v>3.2189999999999999</v>
      </c>
      <c r="I82" s="114">
        <v>0</v>
      </c>
      <c r="J82" s="114">
        <f>ROUND(H82,3) * I82</f>
        <v>0</v>
      </c>
      <c r="K82" s="116"/>
      <c r="L82" s="117">
        <f>ROUND(ROUND(H82,3) * ROUND(K82,2),2)</f>
        <v>0</v>
      </c>
    </row>
    <row r="83" spans="1:12" x14ac:dyDescent="0.2">
      <c r="A83" s="124" t="s">
        <v>49</v>
      </c>
      <c r="B83" s="125"/>
      <c r="F83" s="119" t="s">
        <v>511</v>
      </c>
      <c r="L83" s="127"/>
    </row>
    <row r="84" spans="1:12" x14ac:dyDescent="0.2">
      <c r="A84" s="107" t="s">
        <v>51</v>
      </c>
      <c r="B84" s="125"/>
      <c r="F84" s="122" t="s">
        <v>519</v>
      </c>
      <c r="L84" s="127"/>
    </row>
    <row r="85" spans="1:12" ht="102" thickBot="1" x14ac:dyDescent="0.25">
      <c r="A85" s="124" t="s">
        <v>53</v>
      </c>
      <c r="B85" s="125"/>
      <c r="F85" s="123" t="s">
        <v>513</v>
      </c>
      <c r="L85" s="127"/>
    </row>
    <row r="86" spans="1:12" ht="13.5" customHeight="1" thickBot="1" x14ac:dyDescent="0.25">
      <c r="B86" s="128" t="s">
        <v>58</v>
      </c>
      <c r="C86" s="129" t="s">
        <v>59</v>
      </c>
      <c r="D86" s="130"/>
      <c r="E86" s="130"/>
      <c r="F86" s="130" t="s">
        <v>442</v>
      </c>
      <c r="G86" s="130"/>
      <c r="H86" s="130"/>
      <c r="I86" s="130"/>
      <c r="J86" s="130"/>
      <c r="K86" s="130"/>
      <c r="L86" s="131">
        <f>SUM(L74:L85)</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200" priority="1">
      <formula>$E$5="Ostatní"</formula>
    </cfRule>
    <cfRule type="expression" dxfId="199"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E6A0C0A1-1DA3-48CD-B6B6-519407C7662E}"/>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7C3DADDC-C76D-42AA-9D52-2B19EB566AE3}">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EB8DA221-D885-4E75-B56C-A20729C670DD}">
      <formula1>42370</formula1>
      <formula2>55153</formula2>
    </dataValidation>
    <dataValidation allowBlank="1" showInputMessage="1" showErrorMessage="1" promptTitle="S-kód" prompt="Číslo pod kterým je stavba evidovaná v systému SŽDC." sqref="K6" xr:uid="{7EB5E83E-3520-4424-B2E5-1E7EA937B7E4}"/>
    <dataValidation type="date" allowBlank="1" showInputMessage="1" showErrorMessage="1" errorTitle="Špatný datum" error="Datum musí být v rozmezí_x000a_od 1.1.2016_x000a_do 31.12.2050" promptTitle="Vložit datum" prompt="ve formátu: dd.mm.rrrr" sqref="K8" xr:uid="{79B90D0A-6F5E-4F2D-AD12-FE57DB33F31A}">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25478998-B8DB-4AB1-888D-3F3EA68F4D77}">
      <formula1>"801,802,803,811,812, 813, 814,815, 817, 821,822, 823,824,825,826,827,828,831,832,833,838,839"</formula1>
    </dataValidation>
    <dataValidation type="list" allowBlank="1" showInputMessage="1" showErrorMessage="1" promptTitle="Výběr stádia dle seznamu:" prompt="Stádium 3_x000a_Stádium 2" sqref="E5" xr:uid="{E08E348C-2421-4065-9E3B-6293CDEEC436}">
      <formula1>"Stádium 2,Stádium 3"</formula1>
    </dataValidation>
    <dataValidation type="date" allowBlank="1" showInputMessage="1" showErrorMessage="1" sqref="L8" xr:uid="{A29015D5-09E5-47A7-9260-FE08E9298557}">
      <formula1>42370</formula1>
      <formula2>55153</formula2>
    </dataValidation>
    <dataValidation type="list" allowBlank="1" showInputMessage="1" showErrorMessage="1" sqref="E6" xr:uid="{C48E2472-5066-4A06-9FC8-F74560B7D8D5}">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4B157-2755-4E7B-94F6-A64D77C0B61C}">
  <sheetPr codeName="List4">
    <pageSetUpPr fitToPage="1"/>
  </sheetPr>
  <dimension ref="A1:O34"/>
  <sheetViews>
    <sheetView showGridLines="0" topLeftCell="B1" zoomScale="85" zoomScaleNormal="85" zoomScaleSheetLayoutView="85" workbookViewId="0">
      <pane ySplit="12" topLeftCell="A13" activePane="bottomLeft" state="frozen"/>
      <selection activeCell="B1" sqref="B1"/>
      <selection pane="bottomLeft" activeCell="K14" sqref="K14:K137"/>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422</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422</v>
      </c>
      <c r="E3" s="79"/>
      <c r="F3" s="80" t="s">
        <v>423</v>
      </c>
      <c r="G3" s="81"/>
      <c r="H3" s="82"/>
      <c r="I3" s="83"/>
      <c r="J3" s="84"/>
      <c r="K3" s="248"/>
      <c r="L3" s="249"/>
    </row>
    <row r="4" spans="1:15" s="67" customFormat="1" ht="18" customHeight="1" thickTop="1" x14ac:dyDescent="0.25">
      <c r="B4" s="256" t="s">
        <v>8</v>
      </c>
      <c r="C4" s="245"/>
      <c r="D4" s="253"/>
      <c r="E4" s="85" t="s">
        <v>424</v>
      </c>
      <c r="F4" s="86" t="str">
        <f>INDEX('[5]Kategorie monitoringu'!A1:B34,MATCH(E4,'[5]Kategorie monitoringu'!A1:A34,0),2)</f>
        <v xml:space="preserve"> Kolejový svršek a spodek </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425</v>
      </c>
      <c r="D13" s="110"/>
      <c r="E13" s="110"/>
      <c r="F13" s="111" t="s">
        <v>426</v>
      </c>
      <c r="G13" s="110"/>
      <c r="H13" s="110"/>
      <c r="I13" s="110"/>
      <c r="J13" s="110"/>
      <c r="K13" s="110"/>
      <c r="L13" s="112"/>
    </row>
    <row r="14" spans="1:15" s="107" customFormat="1" ht="11.25" customHeight="1" thickBot="1" x14ac:dyDescent="0.3">
      <c r="A14" s="107" t="s">
        <v>44</v>
      </c>
      <c r="B14" s="113">
        <v>1</v>
      </c>
      <c r="C14" s="114" t="s">
        <v>427</v>
      </c>
      <c r="D14" s="115" t="s">
        <v>60</v>
      </c>
      <c r="E14" s="115" t="s">
        <v>46</v>
      </c>
      <c r="F14" s="115" t="s">
        <v>428</v>
      </c>
      <c r="G14" s="114" t="s">
        <v>64</v>
      </c>
      <c r="H14" s="114">
        <f>ROUND(14.613,3)</f>
        <v>14.613</v>
      </c>
      <c r="I14" s="114">
        <v>0</v>
      </c>
      <c r="J14" s="114">
        <f>ROUND(H14,3) * I14</f>
        <v>0</v>
      </c>
      <c r="K14" s="116"/>
      <c r="L14" s="117">
        <f>ROUND(ROUND(H14,3) * ROUND(K14,2),2)</f>
        <v>0</v>
      </c>
    </row>
    <row r="15" spans="1:15" s="107" customFormat="1" x14ac:dyDescent="0.25">
      <c r="A15" s="107" t="s">
        <v>49</v>
      </c>
      <c r="B15" s="118"/>
      <c r="F15" s="119" t="s">
        <v>17</v>
      </c>
      <c r="G15" s="120"/>
      <c r="H15" s="120"/>
      <c r="I15" s="120"/>
      <c r="J15" s="120"/>
      <c r="K15" s="120"/>
      <c r="L15" s="121"/>
    </row>
    <row r="16" spans="1:15" s="107" customFormat="1" x14ac:dyDescent="0.25">
      <c r="A16" s="107" t="s">
        <v>51</v>
      </c>
      <c r="B16" s="118"/>
      <c r="F16" s="122" t="s">
        <v>429</v>
      </c>
      <c r="G16" s="120"/>
      <c r="H16" s="120"/>
      <c r="I16" s="120"/>
      <c r="J16" s="120"/>
      <c r="K16" s="120"/>
      <c r="L16" s="121"/>
    </row>
    <row r="17" spans="1:12" s="107" customFormat="1" ht="68.25" thickBot="1" x14ac:dyDescent="0.3">
      <c r="A17" s="107" t="s">
        <v>53</v>
      </c>
      <c r="B17" s="118"/>
      <c r="F17" s="123" t="s">
        <v>430</v>
      </c>
      <c r="G17" s="120"/>
      <c r="H17" s="120"/>
      <c r="I17" s="120"/>
      <c r="J17" s="120"/>
      <c r="K17" s="120"/>
      <c r="L17" s="121"/>
    </row>
    <row r="18" spans="1:12" ht="11.25" customHeight="1" thickBot="1" x14ac:dyDescent="0.25">
      <c r="A18" s="124" t="s">
        <v>44</v>
      </c>
      <c r="B18" s="113">
        <v>2</v>
      </c>
      <c r="C18" s="114" t="s">
        <v>431</v>
      </c>
      <c r="D18" s="115" t="s">
        <v>60</v>
      </c>
      <c r="E18" s="115" t="s">
        <v>46</v>
      </c>
      <c r="F18" s="115" t="s">
        <v>432</v>
      </c>
      <c r="G18" s="114" t="s">
        <v>69</v>
      </c>
      <c r="H18" s="114">
        <f>ROUND(76.913,3)</f>
        <v>76.912999999999997</v>
      </c>
      <c r="I18" s="114">
        <v>0</v>
      </c>
      <c r="J18" s="114">
        <f>ROUND(H18,3) * I18</f>
        <v>0</v>
      </c>
      <c r="K18" s="116"/>
      <c r="L18" s="117">
        <f>ROUND(ROUND(H18,3) * ROUND(K18,2),2)</f>
        <v>0</v>
      </c>
    </row>
    <row r="19" spans="1:12" x14ac:dyDescent="0.2">
      <c r="A19" s="124" t="s">
        <v>49</v>
      </c>
      <c r="B19" s="125"/>
      <c r="F19" s="119" t="s">
        <v>17</v>
      </c>
      <c r="L19" s="127"/>
    </row>
    <row r="20" spans="1:12" x14ac:dyDescent="0.2">
      <c r="A20" s="107" t="s">
        <v>51</v>
      </c>
      <c r="B20" s="125"/>
      <c r="F20" s="122" t="s">
        <v>433</v>
      </c>
      <c r="L20" s="127"/>
    </row>
    <row r="21" spans="1:12" ht="79.5" thickBot="1" x14ac:dyDescent="0.25">
      <c r="A21" s="124" t="s">
        <v>53</v>
      </c>
      <c r="B21" s="125"/>
      <c r="F21" s="123" t="s">
        <v>434</v>
      </c>
      <c r="L21" s="127"/>
    </row>
    <row r="22" spans="1:12" ht="13.5" customHeight="1" thickBot="1" x14ac:dyDescent="0.25">
      <c r="B22" s="128" t="s">
        <v>58</v>
      </c>
      <c r="C22" s="129" t="s">
        <v>59</v>
      </c>
      <c r="D22" s="130"/>
      <c r="E22" s="130"/>
      <c r="F22" s="130" t="s">
        <v>426</v>
      </c>
      <c r="G22" s="130"/>
      <c r="H22" s="130"/>
      <c r="I22" s="130"/>
      <c r="J22" s="130"/>
      <c r="K22" s="130"/>
      <c r="L22" s="131">
        <f>SUM(L14:L21)</f>
        <v>0</v>
      </c>
    </row>
    <row r="23" spans="1:12" ht="20.100000000000001" customHeight="1" thickBot="1" x14ac:dyDescent="0.25">
      <c r="A23" s="124" t="s">
        <v>40</v>
      </c>
      <c r="B23" s="132" t="s">
        <v>41</v>
      </c>
      <c r="C23" s="109" t="s">
        <v>382</v>
      </c>
      <c r="D23" s="110"/>
      <c r="E23" s="110"/>
      <c r="F23" s="111" t="s">
        <v>435</v>
      </c>
      <c r="G23" s="110"/>
      <c r="H23" s="110"/>
      <c r="I23" s="110"/>
      <c r="J23" s="110"/>
      <c r="K23" s="110"/>
      <c r="L23" s="112"/>
    </row>
    <row r="24" spans="1:12" ht="11.25" customHeight="1" thickBot="1" x14ac:dyDescent="0.25">
      <c r="A24" s="124" t="s">
        <v>44</v>
      </c>
      <c r="B24" s="113">
        <v>3</v>
      </c>
      <c r="C24" s="114" t="s">
        <v>436</v>
      </c>
      <c r="D24" s="115" t="s">
        <v>60</v>
      </c>
      <c r="E24" s="115" t="s">
        <v>46</v>
      </c>
      <c r="F24" s="115" t="s">
        <v>437</v>
      </c>
      <c r="G24" s="114" t="s">
        <v>81</v>
      </c>
      <c r="H24" s="114">
        <f>ROUND(26,3)</f>
        <v>26</v>
      </c>
      <c r="I24" s="114">
        <v>0</v>
      </c>
      <c r="J24" s="114">
        <f>ROUND(H24,3) * I24</f>
        <v>0</v>
      </c>
      <c r="K24" s="116"/>
      <c r="L24" s="117">
        <f>ROUND(ROUND(H24,3) * ROUND(K24,2),2)</f>
        <v>0</v>
      </c>
    </row>
    <row r="25" spans="1:12" x14ac:dyDescent="0.2">
      <c r="A25" s="124" t="s">
        <v>49</v>
      </c>
      <c r="B25" s="125"/>
      <c r="F25" s="119" t="s">
        <v>438</v>
      </c>
      <c r="L25" s="127"/>
    </row>
    <row r="26" spans="1:12" x14ac:dyDescent="0.2">
      <c r="A26" s="107" t="s">
        <v>51</v>
      </c>
      <c r="B26" s="125"/>
      <c r="F26" s="122" t="s">
        <v>439</v>
      </c>
      <c r="L26" s="127"/>
    </row>
    <row r="27" spans="1:12" ht="135.75" thickBot="1" x14ac:dyDescent="0.25">
      <c r="A27" s="124" t="s">
        <v>53</v>
      </c>
      <c r="B27" s="125"/>
      <c r="F27" s="123" t="s">
        <v>440</v>
      </c>
      <c r="L27" s="127"/>
    </row>
    <row r="28" spans="1:12" ht="13.5" customHeight="1" thickBot="1" x14ac:dyDescent="0.25">
      <c r="B28" s="128" t="s">
        <v>58</v>
      </c>
      <c r="C28" s="129" t="s">
        <v>59</v>
      </c>
      <c r="D28" s="130"/>
      <c r="E28" s="130"/>
      <c r="F28" s="130" t="s">
        <v>435</v>
      </c>
      <c r="G28" s="130"/>
      <c r="H28" s="130"/>
      <c r="I28" s="130"/>
      <c r="J28" s="130"/>
      <c r="K28" s="130"/>
      <c r="L28" s="131">
        <f>SUM(L24:L27)</f>
        <v>0</v>
      </c>
    </row>
    <row r="29" spans="1:12" ht="20.100000000000001" customHeight="1" thickBot="1" x14ac:dyDescent="0.25">
      <c r="A29" s="124" t="s">
        <v>40</v>
      </c>
      <c r="B29" s="132" t="s">
        <v>41</v>
      </c>
      <c r="C29" s="109" t="s">
        <v>441</v>
      </c>
      <c r="D29" s="110"/>
      <c r="E29" s="110"/>
      <c r="F29" s="111" t="s">
        <v>442</v>
      </c>
      <c r="G29" s="110"/>
      <c r="H29" s="110"/>
      <c r="I29" s="110"/>
      <c r="J29" s="110"/>
      <c r="K29" s="110"/>
      <c r="L29" s="112"/>
    </row>
    <row r="30" spans="1:12" ht="11.25" customHeight="1" thickBot="1" x14ac:dyDescent="0.25">
      <c r="A30" s="124" t="s">
        <v>44</v>
      </c>
      <c r="B30" s="113">
        <v>4</v>
      </c>
      <c r="C30" s="114" t="s">
        <v>443</v>
      </c>
      <c r="D30" s="115" t="s">
        <v>60</v>
      </c>
      <c r="E30" s="115" t="s">
        <v>46</v>
      </c>
      <c r="F30" s="115" t="s">
        <v>444</v>
      </c>
      <c r="G30" s="114" t="s">
        <v>48</v>
      </c>
      <c r="H30" s="114">
        <f>ROUND(1,3)</f>
        <v>1</v>
      </c>
      <c r="I30" s="114">
        <v>0</v>
      </c>
      <c r="J30" s="114">
        <f>ROUND(H30,3) * I30</f>
        <v>0</v>
      </c>
      <c r="K30" s="116"/>
      <c r="L30" s="117">
        <f>ROUND(ROUND(H30,3) * ROUND(K30,2),2)</f>
        <v>0</v>
      </c>
    </row>
    <row r="31" spans="1:12" x14ac:dyDescent="0.2">
      <c r="A31" s="124" t="s">
        <v>49</v>
      </c>
      <c r="B31" s="125"/>
      <c r="F31" s="119" t="s">
        <v>445</v>
      </c>
      <c r="L31" s="127"/>
    </row>
    <row r="32" spans="1:12" x14ac:dyDescent="0.2">
      <c r="A32" s="107" t="s">
        <v>51</v>
      </c>
      <c r="B32" s="125"/>
      <c r="F32" s="122" t="s">
        <v>446</v>
      </c>
      <c r="L32" s="127"/>
    </row>
    <row r="33" spans="1:12" ht="12" thickBot="1" x14ac:dyDescent="0.25">
      <c r="A33" s="124" t="s">
        <v>53</v>
      </c>
      <c r="B33" s="125"/>
      <c r="F33" s="123" t="s">
        <v>447</v>
      </c>
      <c r="L33" s="127"/>
    </row>
    <row r="34" spans="1:12" ht="13.5" customHeight="1" thickBot="1" x14ac:dyDescent="0.25">
      <c r="B34" s="128" t="s">
        <v>58</v>
      </c>
      <c r="C34" s="129" t="s">
        <v>59</v>
      </c>
      <c r="D34" s="130"/>
      <c r="E34" s="130"/>
      <c r="F34" s="130" t="s">
        <v>442</v>
      </c>
      <c r="G34" s="130"/>
      <c r="H34" s="130"/>
      <c r="I34" s="130"/>
      <c r="J34" s="130"/>
      <c r="K34" s="130"/>
      <c r="L34" s="131">
        <f>SUM(L30:L33)</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98" priority="1">
      <formula>$E$5="Ostatní"</formula>
    </cfRule>
    <cfRule type="expression" dxfId="197"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549BE3B2-9E97-4814-9079-6975743B693C}"/>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AAA03F0F-AEF4-484C-A567-0EE0865F3B29}">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7D4FB12D-EA46-4F2B-B2D3-73B64C640C03}">
      <formula1>42370</formula1>
      <formula2>55153</formula2>
    </dataValidation>
    <dataValidation allowBlank="1" showInputMessage="1" showErrorMessage="1" promptTitle="S-kód" prompt="Číslo pod kterým je stavba evidovaná v systému SŽDC." sqref="K6" xr:uid="{E1AA08F4-C073-468E-BBAC-BB20A9AA50F5}"/>
    <dataValidation type="date" allowBlank="1" showInputMessage="1" showErrorMessage="1" errorTitle="Špatný datum" error="Datum musí být v rozmezí_x000a_od 1.1.2016_x000a_do 31.12.2050" promptTitle="Vložit datum" prompt="ve formátu: dd.mm.rrrr" sqref="K8" xr:uid="{09539958-979A-49ED-B470-08CC50363327}">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1DA49556-D726-450E-B1A6-12B0356336F4}">
      <formula1>"801,802,803,811,812, 813, 814,815, 817, 821,822, 823,824,825,826,827,828,831,832,833,838,839"</formula1>
    </dataValidation>
    <dataValidation type="list" allowBlank="1" showInputMessage="1" showErrorMessage="1" promptTitle="Výběr stádia dle seznamu:" prompt="Stádium 3_x000a_Stádium 2" sqref="E5" xr:uid="{378D9415-8FF8-41A7-A2AE-5A3A0AA273A7}">
      <formula1>"Stádium 2,Stádium 3"</formula1>
    </dataValidation>
    <dataValidation type="date" allowBlank="1" showInputMessage="1" showErrorMessage="1" sqref="L8" xr:uid="{04B629A1-309E-45FB-937D-1C47E10D4383}">
      <formula1>42370</formula1>
      <formula2>55153</formula2>
    </dataValidation>
    <dataValidation type="list" allowBlank="1" showInputMessage="1" showErrorMessage="1" sqref="E6" xr:uid="{5DED7F75-E5E2-428D-AD1B-29C625AED81D}">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82C0D-6FE3-4CEE-8098-398667F4986C}">
  <sheetPr codeName="List6">
    <pageSetUpPr fitToPage="1"/>
  </sheetPr>
  <dimension ref="A1:O34"/>
  <sheetViews>
    <sheetView showGridLines="0" topLeftCell="B1" zoomScale="85" zoomScaleNormal="85" zoomScaleSheetLayoutView="85" workbookViewId="0">
      <pane ySplit="12" topLeftCell="A13" activePane="bottomLeft" state="frozen"/>
      <selection activeCell="B1" sqref="B1"/>
      <selection pane="bottomLeft" activeCell="K14" sqref="K14:K35"/>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520</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520</v>
      </c>
      <c r="E3" s="79"/>
      <c r="F3" s="80" t="s">
        <v>423</v>
      </c>
      <c r="G3" s="81"/>
      <c r="H3" s="82"/>
      <c r="I3" s="83"/>
      <c r="J3" s="84"/>
      <c r="K3" s="248"/>
      <c r="L3" s="249"/>
    </row>
    <row r="4" spans="1:15" s="67" customFormat="1" ht="18" customHeight="1" thickTop="1" x14ac:dyDescent="0.25">
      <c r="B4" s="256" t="s">
        <v>8</v>
      </c>
      <c r="C4" s="245"/>
      <c r="D4" s="253"/>
      <c r="E4" s="85" t="s">
        <v>424</v>
      </c>
      <c r="F4" s="86" t="str">
        <f>INDEX('[6]Kategorie monitoringu'!A1:B34,MATCH(E4,'[6]Kategorie monitoringu'!A1:A34,0),2)</f>
        <v xml:space="preserve"> Kolejový svršek a spodek </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425</v>
      </c>
      <c r="D13" s="110"/>
      <c r="E13" s="110"/>
      <c r="F13" s="111" t="s">
        <v>426</v>
      </c>
      <c r="G13" s="110"/>
      <c r="H13" s="110"/>
      <c r="I13" s="110"/>
      <c r="J13" s="110"/>
      <c r="K13" s="110"/>
      <c r="L13" s="112"/>
    </row>
    <row r="14" spans="1:15" s="107" customFormat="1" ht="11.25" customHeight="1" thickBot="1" x14ac:dyDescent="0.3">
      <c r="A14" s="107" t="s">
        <v>44</v>
      </c>
      <c r="B14" s="113">
        <v>1</v>
      </c>
      <c r="C14" s="114" t="s">
        <v>427</v>
      </c>
      <c r="D14" s="115" t="s">
        <v>60</v>
      </c>
      <c r="E14" s="115" t="s">
        <v>46</v>
      </c>
      <c r="F14" s="115" t="s">
        <v>428</v>
      </c>
      <c r="G14" s="114" t="s">
        <v>64</v>
      </c>
      <c r="H14" s="114">
        <f>ROUND(18.205,3)</f>
        <v>18.204999999999998</v>
      </c>
      <c r="I14" s="114">
        <v>0</v>
      </c>
      <c r="J14" s="114">
        <f>ROUND(H14,3) * I14</f>
        <v>0</v>
      </c>
      <c r="K14" s="116"/>
      <c r="L14" s="117">
        <f>ROUND(ROUND(H14,3) * ROUND(K14,2),2)</f>
        <v>0</v>
      </c>
    </row>
    <row r="15" spans="1:15" s="107" customFormat="1" x14ac:dyDescent="0.25">
      <c r="A15" s="107" t="s">
        <v>49</v>
      </c>
      <c r="B15" s="118"/>
      <c r="F15" s="119" t="s">
        <v>17</v>
      </c>
      <c r="G15" s="120"/>
      <c r="H15" s="120"/>
      <c r="I15" s="120"/>
      <c r="J15" s="120"/>
      <c r="K15" s="120"/>
      <c r="L15" s="121"/>
    </row>
    <row r="16" spans="1:15" s="107" customFormat="1" x14ac:dyDescent="0.25">
      <c r="A16" s="107" t="s">
        <v>51</v>
      </c>
      <c r="B16" s="118"/>
      <c r="F16" s="122" t="s">
        <v>521</v>
      </c>
      <c r="G16" s="120"/>
      <c r="H16" s="120"/>
      <c r="I16" s="120"/>
      <c r="J16" s="120"/>
      <c r="K16" s="120"/>
      <c r="L16" s="121"/>
    </row>
    <row r="17" spans="1:12" s="107" customFormat="1" ht="68.25" thickBot="1" x14ac:dyDescent="0.3">
      <c r="A17" s="107" t="s">
        <v>53</v>
      </c>
      <c r="B17" s="118"/>
      <c r="F17" s="123" t="s">
        <v>430</v>
      </c>
      <c r="G17" s="120"/>
      <c r="H17" s="120"/>
      <c r="I17" s="120"/>
      <c r="J17" s="120"/>
      <c r="K17" s="120"/>
      <c r="L17" s="121"/>
    </row>
    <row r="18" spans="1:12" ht="11.25" customHeight="1" thickBot="1" x14ac:dyDescent="0.25">
      <c r="A18" s="124" t="s">
        <v>44</v>
      </c>
      <c r="B18" s="113">
        <v>2</v>
      </c>
      <c r="C18" s="114" t="s">
        <v>522</v>
      </c>
      <c r="D18" s="115" t="s">
        <v>60</v>
      </c>
      <c r="E18" s="115" t="s">
        <v>46</v>
      </c>
      <c r="F18" s="115" t="s">
        <v>523</v>
      </c>
      <c r="G18" s="114" t="s">
        <v>69</v>
      </c>
      <c r="H18" s="114">
        <f>ROUND(182.049,3)</f>
        <v>182.04900000000001</v>
      </c>
      <c r="I18" s="114">
        <v>0</v>
      </c>
      <c r="J18" s="114">
        <f>ROUND(H18,3) * I18</f>
        <v>0</v>
      </c>
      <c r="K18" s="116"/>
      <c r="L18" s="117">
        <f>ROUND(ROUND(H18,3) * ROUND(K18,2),2)</f>
        <v>0</v>
      </c>
    </row>
    <row r="19" spans="1:12" x14ac:dyDescent="0.2">
      <c r="A19" s="124" t="s">
        <v>49</v>
      </c>
      <c r="B19" s="125"/>
      <c r="F19" s="119" t="s">
        <v>17</v>
      </c>
      <c r="L19" s="127"/>
    </row>
    <row r="20" spans="1:12" x14ac:dyDescent="0.2">
      <c r="A20" s="107" t="s">
        <v>51</v>
      </c>
      <c r="B20" s="125"/>
      <c r="F20" s="122" t="s">
        <v>524</v>
      </c>
      <c r="L20" s="127"/>
    </row>
    <row r="21" spans="1:12" ht="79.5" thickBot="1" x14ac:dyDescent="0.25">
      <c r="A21" s="124" t="s">
        <v>53</v>
      </c>
      <c r="B21" s="125"/>
      <c r="F21" s="123" t="s">
        <v>434</v>
      </c>
      <c r="L21" s="127"/>
    </row>
    <row r="22" spans="1:12" ht="13.5" customHeight="1" thickBot="1" x14ac:dyDescent="0.25">
      <c r="B22" s="128" t="s">
        <v>58</v>
      </c>
      <c r="C22" s="129" t="s">
        <v>59</v>
      </c>
      <c r="D22" s="130"/>
      <c r="E22" s="130"/>
      <c r="F22" s="130" t="s">
        <v>426</v>
      </c>
      <c r="G22" s="130"/>
      <c r="H22" s="130"/>
      <c r="I22" s="130"/>
      <c r="J22" s="130"/>
      <c r="K22" s="130"/>
      <c r="L22" s="131">
        <f>SUM(L14:L21)</f>
        <v>0</v>
      </c>
    </row>
    <row r="23" spans="1:12" ht="20.100000000000001" customHeight="1" thickBot="1" x14ac:dyDescent="0.25">
      <c r="A23" s="124" t="s">
        <v>40</v>
      </c>
      <c r="B23" s="132" t="s">
        <v>41</v>
      </c>
      <c r="C23" s="109" t="s">
        <v>382</v>
      </c>
      <c r="D23" s="110"/>
      <c r="E23" s="110"/>
      <c r="F23" s="111" t="s">
        <v>435</v>
      </c>
      <c r="G23" s="110"/>
      <c r="H23" s="110"/>
      <c r="I23" s="110"/>
      <c r="J23" s="110"/>
      <c r="K23" s="110"/>
      <c r="L23" s="112"/>
    </row>
    <row r="24" spans="1:12" ht="11.25" customHeight="1" thickBot="1" x14ac:dyDescent="0.25">
      <c r="A24" s="124" t="s">
        <v>44</v>
      </c>
      <c r="B24" s="113">
        <v>3</v>
      </c>
      <c r="C24" s="114" t="s">
        <v>436</v>
      </c>
      <c r="D24" s="115" t="s">
        <v>60</v>
      </c>
      <c r="E24" s="115" t="s">
        <v>46</v>
      </c>
      <c r="F24" s="115" t="s">
        <v>437</v>
      </c>
      <c r="G24" s="114" t="s">
        <v>81</v>
      </c>
      <c r="H24" s="114">
        <f>ROUND(30.6,3)</f>
        <v>30.6</v>
      </c>
      <c r="I24" s="114">
        <v>0</v>
      </c>
      <c r="J24" s="114">
        <f>ROUND(H24,3) * I24</f>
        <v>0</v>
      </c>
      <c r="K24" s="116"/>
      <c r="L24" s="117">
        <f>ROUND(ROUND(H24,3) * ROUND(K24,2),2)</f>
        <v>0</v>
      </c>
    </row>
    <row r="25" spans="1:12" x14ac:dyDescent="0.2">
      <c r="A25" s="124" t="s">
        <v>49</v>
      </c>
      <c r="B25" s="125"/>
      <c r="F25" s="119" t="s">
        <v>438</v>
      </c>
      <c r="L25" s="127"/>
    </row>
    <row r="26" spans="1:12" x14ac:dyDescent="0.2">
      <c r="A26" s="107" t="s">
        <v>51</v>
      </c>
      <c r="B26" s="125"/>
      <c r="F26" s="122" t="s">
        <v>525</v>
      </c>
      <c r="L26" s="127"/>
    </row>
    <row r="27" spans="1:12" ht="135.75" thickBot="1" x14ac:dyDescent="0.25">
      <c r="A27" s="124" t="s">
        <v>53</v>
      </c>
      <c r="B27" s="125"/>
      <c r="F27" s="123" t="s">
        <v>440</v>
      </c>
      <c r="L27" s="127"/>
    </row>
    <row r="28" spans="1:12" ht="13.5" customHeight="1" thickBot="1" x14ac:dyDescent="0.25">
      <c r="B28" s="128" t="s">
        <v>58</v>
      </c>
      <c r="C28" s="129" t="s">
        <v>59</v>
      </c>
      <c r="D28" s="130"/>
      <c r="E28" s="130"/>
      <c r="F28" s="130" t="s">
        <v>435</v>
      </c>
      <c r="G28" s="130"/>
      <c r="H28" s="130"/>
      <c r="I28" s="130"/>
      <c r="J28" s="130"/>
      <c r="K28" s="130"/>
      <c r="L28" s="131">
        <f>SUM(L24:L27)</f>
        <v>0</v>
      </c>
    </row>
    <row r="29" spans="1:12" ht="20.100000000000001" customHeight="1" thickBot="1" x14ac:dyDescent="0.25">
      <c r="A29" s="124" t="s">
        <v>40</v>
      </c>
      <c r="B29" s="132" t="s">
        <v>41</v>
      </c>
      <c r="C29" s="109" t="s">
        <v>441</v>
      </c>
      <c r="D29" s="110"/>
      <c r="E29" s="110"/>
      <c r="F29" s="111" t="s">
        <v>442</v>
      </c>
      <c r="G29" s="110"/>
      <c r="H29" s="110"/>
      <c r="I29" s="110"/>
      <c r="J29" s="110"/>
      <c r="K29" s="110"/>
      <c r="L29" s="112"/>
    </row>
    <row r="30" spans="1:12" ht="11.25" customHeight="1" thickBot="1" x14ac:dyDescent="0.25">
      <c r="A30" s="124" t="s">
        <v>44</v>
      </c>
      <c r="B30" s="113">
        <v>4</v>
      </c>
      <c r="C30" s="114" t="s">
        <v>443</v>
      </c>
      <c r="D30" s="115" t="s">
        <v>60</v>
      </c>
      <c r="E30" s="115" t="s">
        <v>46</v>
      </c>
      <c r="F30" s="115" t="s">
        <v>444</v>
      </c>
      <c r="G30" s="114" t="s">
        <v>48</v>
      </c>
      <c r="H30" s="114">
        <f>ROUND(1,3)</f>
        <v>1</v>
      </c>
      <c r="I30" s="114">
        <v>0</v>
      </c>
      <c r="J30" s="114">
        <f>ROUND(H30,3) * I30</f>
        <v>0</v>
      </c>
      <c r="K30" s="116"/>
      <c r="L30" s="117">
        <f>ROUND(ROUND(H30,3) * ROUND(K30,2),2)</f>
        <v>0</v>
      </c>
    </row>
    <row r="31" spans="1:12" x14ac:dyDescent="0.2">
      <c r="A31" s="124" t="s">
        <v>49</v>
      </c>
      <c r="B31" s="125"/>
      <c r="F31" s="119" t="s">
        <v>445</v>
      </c>
      <c r="L31" s="127"/>
    </row>
    <row r="32" spans="1:12" x14ac:dyDescent="0.2">
      <c r="A32" s="107" t="s">
        <v>51</v>
      </c>
      <c r="B32" s="125"/>
      <c r="F32" s="122" t="s">
        <v>446</v>
      </c>
      <c r="L32" s="127"/>
    </row>
    <row r="33" spans="1:12" ht="12" thickBot="1" x14ac:dyDescent="0.25">
      <c r="A33" s="124" t="s">
        <v>53</v>
      </c>
      <c r="B33" s="125"/>
      <c r="F33" s="123" t="s">
        <v>447</v>
      </c>
      <c r="L33" s="127"/>
    </row>
    <row r="34" spans="1:12" ht="13.5" customHeight="1" thickBot="1" x14ac:dyDescent="0.25">
      <c r="B34" s="128" t="s">
        <v>58</v>
      </c>
      <c r="C34" s="129" t="s">
        <v>59</v>
      </c>
      <c r="D34" s="130"/>
      <c r="E34" s="130"/>
      <c r="F34" s="130" t="s">
        <v>442</v>
      </c>
      <c r="G34" s="130"/>
      <c r="H34" s="130"/>
      <c r="I34" s="130"/>
      <c r="J34" s="130"/>
      <c r="K34" s="130"/>
      <c r="L34" s="131">
        <f>SUM(L30:L33)</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96" priority="1">
      <formula>$E$5="Ostatní"</formula>
    </cfRule>
    <cfRule type="expression" dxfId="195"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52A19AB7-35EC-4B26-8EE0-4E4DF6FB90F1}"/>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7DB3F202-545B-4CA7-9AB7-EE7FD5ECA0C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25A808AA-E151-4CA2-B945-5AC9DC04AC46}">
      <formula1>42370</formula1>
      <formula2>55153</formula2>
    </dataValidation>
    <dataValidation allowBlank="1" showInputMessage="1" showErrorMessage="1" promptTitle="S-kód" prompt="Číslo pod kterým je stavba evidovaná v systému SŽDC." sqref="K6" xr:uid="{2886644B-2C82-464D-8257-9F90BBBB0BA5}"/>
    <dataValidation type="date" allowBlank="1" showInputMessage="1" showErrorMessage="1" errorTitle="Špatný datum" error="Datum musí být v rozmezí_x000a_od 1.1.2016_x000a_do 31.12.2050" promptTitle="Vložit datum" prompt="ve formátu: dd.mm.rrrr" sqref="K8" xr:uid="{D9E5AA5F-9824-45F4-96FB-0F708FECA5AC}">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FDE334D2-B4E5-453A-B94B-3E3232702B93}">
      <formula1>"801,802,803,811,812, 813, 814,815, 817, 821,822, 823,824,825,826,827,828,831,832,833,838,839"</formula1>
    </dataValidation>
    <dataValidation type="list" allowBlank="1" showInputMessage="1" showErrorMessage="1" promptTitle="Výběr stádia dle seznamu:" prompt="Stádium 3_x000a_Stádium 2" sqref="E5" xr:uid="{D1FCB438-6E4D-42B9-B4EB-9C2FFA6F7FFF}">
      <formula1>"Stádium 2,Stádium 3"</formula1>
    </dataValidation>
    <dataValidation type="date" allowBlank="1" showInputMessage="1" showErrorMessage="1" sqref="L8" xr:uid="{15A5A0FA-3158-4AD2-AF66-E9ACC47FF836}">
      <formula1>42370</formula1>
      <formula2>55153</formula2>
    </dataValidation>
    <dataValidation type="list" allowBlank="1" showInputMessage="1" showErrorMessage="1" sqref="E6" xr:uid="{855C7D72-9ECB-47C7-B1A2-DC2BE66AABC3}">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2B176-EE1D-49A0-BB16-883FC5C97F19}">
  <sheetPr codeName="List7">
    <pageSetUpPr fitToPage="1"/>
  </sheetPr>
  <dimension ref="A1:O90"/>
  <sheetViews>
    <sheetView showGridLines="0" topLeftCell="B1" zoomScale="85" zoomScaleNormal="85" zoomScaleSheetLayoutView="85" workbookViewId="0">
      <pane ySplit="12" topLeftCell="A80" activePane="bottomLeft" state="frozen"/>
      <selection activeCell="B1" sqref="B1"/>
      <selection pane="bottomLeft" activeCell="K14" sqref="K14:K90"/>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526</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526</v>
      </c>
      <c r="E3" s="79"/>
      <c r="F3" s="80" t="s">
        <v>527</v>
      </c>
      <c r="G3" s="81"/>
      <c r="H3" s="82"/>
      <c r="I3" s="83"/>
      <c r="J3" s="84"/>
      <c r="K3" s="248"/>
      <c r="L3" s="249"/>
    </row>
    <row r="4" spans="1:15" s="67" customFormat="1" ht="18" customHeight="1" thickTop="1" x14ac:dyDescent="0.25">
      <c r="B4" s="256" t="s">
        <v>8</v>
      </c>
      <c r="C4" s="245"/>
      <c r="D4" s="253"/>
      <c r="E4" s="85" t="s">
        <v>424</v>
      </c>
      <c r="F4" s="86" t="str">
        <f>INDEX('[7]Kategorie monitoringu'!A1:B34,MATCH(E4,'[7]Kategorie monitoringu'!A1:A34,0),2)</f>
        <v xml:space="preserve"> Kolejový svršek a spodek </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425</v>
      </c>
      <c r="D13" s="110"/>
      <c r="E13" s="110"/>
      <c r="F13" s="111" t="s">
        <v>426</v>
      </c>
      <c r="G13" s="110"/>
      <c r="H13" s="110"/>
      <c r="I13" s="110"/>
      <c r="J13" s="110"/>
      <c r="K13" s="110"/>
      <c r="L13" s="112"/>
    </row>
    <row r="14" spans="1:15" s="107" customFormat="1" ht="11.25" customHeight="1" thickBot="1" x14ac:dyDescent="0.3">
      <c r="A14" s="107" t="s">
        <v>44</v>
      </c>
      <c r="B14" s="113">
        <v>1</v>
      </c>
      <c r="C14" s="114" t="s">
        <v>450</v>
      </c>
      <c r="D14" s="115" t="s">
        <v>60</v>
      </c>
      <c r="E14" s="115" t="s">
        <v>46</v>
      </c>
      <c r="F14" s="115" t="s">
        <v>451</v>
      </c>
      <c r="G14" s="114" t="s">
        <v>64</v>
      </c>
      <c r="H14" s="114">
        <f>ROUND(67.181,3)</f>
        <v>67.180999999999997</v>
      </c>
      <c r="I14" s="114">
        <v>0</v>
      </c>
      <c r="J14" s="114">
        <f>ROUND(H14,3) * I14</f>
        <v>0</v>
      </c>
      <c r="K14" s="116"/>
      <c r="L14" s="117">
        <f>ROUND(ROUND(H14,3) * ROUND(K14,2),2)</f>
        <v>0</v>
      </c>
    </row>
    <row r="15" spans="1:15" s="107" customFormat="1" x14ac:dyDescent="0.25">
      <c r="A15" s="107" t="s">
        <v>49</v>
      </c>
      <c r="B15" s="118"/>
      <c r="F15" s="119" t="s">
        <v>17</v>
      </c>
      <c r="G15" s="120"/>
      <c r="H15" s="120"/>
      <c r="I15" s="120"/>
      <c r="J15" s="120"/>
      <c r="K15" s="120"/>
      <c r="L15" s="121"/>
    </row>
    <row r="16" spans="1:15" s="107" customFormat="1" x14ac:dyDescent="0.25">
      <c r="A16" s="107" t="s">
        <v>51</v>
      </c>
      <c r="B16" s="118"/>
      <c r="F16" s="122" t="s">
        <v>528</v>
      </c>
      <c r="G16" s="120"/>
      <c r="H16" s="120"/>
      <c r="I16" s="120"/>
      <c r="J16" s="120"/>
      <c r="K16" s="120"/>
      <c r="L16" s="121"/>
    </row>
    <row r="17" spans="1:12" s="107" customFormat="1" ht="68.25" thickBot="1" x14ac:dyDescent="0.3">
      <c r="A17" s="107" t="s">
        <v>53</v>
      </c>
      <c r="B17" s="118"/>
      <c r="F17" s="123" t="s">
        <v>430</v>
      </c>
      <c r="G17" s="120"/>
      <c r="H17" s="120"/>
      <c r="I17" s="120"/>
      <c r="J17" s="120"/>
      <c r="K17" s="120"/>
      <c r="L17" s="121"/>
    </row>
    <row r="18" spans="1:12" ht="11.25" customHeight="1" thickBot="1" x14ac:dyDescent="0.25">
      <c r="A18" s="124" t="s">
        <v>44</v>
      </c>
      <c r="B18" s="113">
        <v>2</v>
      </c>
      <c r="C18" s="114" t="s">
        <v>453</v>
      </c>
      <c r="D18" s="115" t="s">
        <v>60</v>
      </c>
      <c r="E18" s="115" t="s">
        <v>46</v>
      </c>
      <c r="F18" s="115" t="s">
        <v>454</v>
      </c>
      <c r="G18" s="114" t="s">
        <v>64</v>
      </c>
      <c r="H18" s="114">
        <f>ROUND(13.436,3)</f>
        <v>13.436</v>
      </c>
      <c r="I18" s="114">
        <v>0</v>
      </c>
      <c r="J18" s="114">
        <f>ROUND(H18,3) * I18</f>
        <v>0</v>
      </c>
      <c r="K18" s="116"/>
      <c r="L18" s="117">
        <f>ROUND(ROUND(H18,3) * ROUND(K18,2),2)</f>
        <v>0</v>
      </c>
    </row>
    <row r="19" spans="1:12" x14ac:dyDescent="0.2">
      <c r="A19" s="124" t="s">
        <v>49</v>
      </c>
      <c r="B19" s="125"/>
      <c r="F19" s="119" t="s">
        <v>529</v>
      </c>
      <c r="L19" s="127"/>
    </row>
    <row r="20" spans="1:12" x14ac:dyDescent="0.2">
      <c r="A20" s="107" t="s">
        <v>51</v>
      </c>
      <c r="B20" s="125"/>
      <c r="F20" s="122" t="s">
        <v>530</v>
      </c>
      <c r="L20" s="127"/>
    </row>
    <row r="21" spans="1:12" ht="259.5" thickBot="1" x14ac:dyDescent="0.25">
      <c r="A21" s="124" t="s">
        <v>53</v>
      </c>
      <c r="B21" s="125"/>
      <c r="F21" s="123" t="s">
        <v>457</v>
      </c>
      <c r="L21" s="127"/>
    </row>
    <row r="22" spans="1:12" ht="11.25" customHeight="1" thickBot="1" x14ac:dyDescent="0.25">
      <c r="A22" s="124" t="s">
        <v>44</v>
      </c>
      <c r="B22" s="113">
        <v>3</v>
      </c>
      <c r="C22" s="114" t="s">
        <v>531</v>
      </c>
      <c r="D22" s="115" t="s">
        <v>60</v>
      </c>
      <c r="E22" s="115" t="s">
        <v>46</v>
      </c>
      <c r="F22" s="115" t="s">
        <v>532</v>
      </c>
      <c r="G22" s="114" t="s">
        <v>69</v>
      </c>
      <c r="H22" s="114">
        <f>ROUND(15.636,3)</f>
        <v>15.635999999999999</v>
      </c>
      <c r="I22" s="114">
        <v>0</v>
      </c>
      <c r="J22" s="114">
        <f>ROUND(H22,3) * I22</f>
        <v>0</v>
      </c>
      <c r="K22" s="116"/>
      <c r="L22" s="117">
        <f>ROUND(ROUND(H22,3) * ROUND(K22,2),2)</f>
        <v>0</v>
      </c>
    </row>
    <row r="23" spans="1:12" x14ac:dyDescent="0.2">
      <c r="A23" s="124" t="s">
        <v>49</v>
      </c>
      <c r="B23" s="125"/>
      <c r="F23" s="119" t="s">
        <v>533</v>
      </c>
      <c r="L23" s="127"/>
    </row>
    <row r="24" spans="1:12" x14ac:dyDescent="0.2">
      <c r="A24" s="107" t="s">
        <v>51</v>
      </c>
      <c r="B24" s="125"/>
      <c r="F24" s="122" t="s">
        <v>534</v>
      </c>
      <c r="L24" s="127"/>
    </row>
    <row r="25" spans="1:12" ht="248.25" thickBot="1" x14ac:dyDescent="0.25">
      <c r="A25" s="124" t="s">
        <v>53</v>
      </c>
      <c r="B25" s="125"/>
      <c r="F25" s="123" t="s">
        <v>461</v>
      </c>
      <c r="L25" s="127"/>
    </row>
    <row r="26" spans="1:12" ht="11.25" customHeight="1" thickBot="1" x14ac:dyDescent="0.25">
      <c r="A26" s="124" t="s">
        <v>44</v>
      </c>
      <c r="B26" s="113">
        <v>4</v>
      </c>
      <c r="C26" s="114" t="s">
        <v>535</v>
      </c>
      <c r="D26" s="115" t="s">
        <v>60</v>
      </c>
      <c r="E26" s="115" t="s">
        <v>46</v>
      </c>
      <c r="F26" s="115" t="s">
        <v>536</v>
      </c>
      <c r="G26" s="114" t="s">
        <v>69</v>
      </c>
      <c r="H26" s="114">
        <f>ROUND(21.687,3)</f>
        <v>21.687000000000001</v>
      </c>
      <c r="I26" s="114">
        <v>0</v>
      </c>
      <c r="J26" s="114">
        <f>ROUND(H26,3) * I26</f>
        <v>0</v>
      </c>
      <c r="K26" s="116"/>
      <c r="L26" s="117">
        <f>ROUND(ROUND(H26,3) * ROUND(K26,2),2)</f>
        <v>0</v>
      </c>
    </row>
    <row r="27" spans="1:12" x14ac:dyDescent="0.2">
      <c r="A27" s="124" t="s">
        <v>49</v>
      </c>
      <c r="B27" s="125"/>
      <c r="F27" s="119" t="s">
        <v>537</v>
      </c>
      <c r="L27" s="127"/>
    </row>
    <row r="28" spans="1:12" x14ac:dyDescent="0.2">
      <c r="A28" s="107" t="s">
        <v>51</v>
      </c>
      <c r="B28" s="125"/>
      <c r="F28" s="122" t="s">
        <v>538</v>
      </c>
      <c r="L28" s="127"/>
    </row>
    <row r="29" spans="1:12" ht="248.25" thickBot="1" x14ac:dyDescent="0.25">
      <c r="A29" s="124" t="s">
        <v>53</v>
      </c>
      <c r="B29" s="125"/>
      <c r="F29" s="123" t="s">
        <v>461</v>
      </c>
      <c r="L29" s="127"/>
    </row>
    <row r="30" spans="1:12" ht="11.25" customHeight="1" thickBot="1" x14ac:dyDescent="0.25">
      <c r="A30" s="124" t="s">
        <v>44</v>
      </c>
      <c r="B30" s="113">
        <v>5</v>
      </c>
      <c r="C30" s="114" t="s">
        <v>462</v>
      </c>
      <c r="D30" s="115" t="s">
        <v>60</v>
      </c>
      <c r="E30" s="115" t="s">
        <v>46</v>
      </c>
      <c r="F30" s="115" t="s">
        <v>463</v>
      </c>
      <c r="G30" s="114" t="s">
        <v>69</v>
      </c>
      <c r="H30" s="114">
        <f>ROUND(222.784,3)</f>
        <v>222.78399999999999</v>
      </c>
      <c r="I30" s="114">
        <v>0</v>
      </c>
      <c r="J30" s="114">
        <f>ROUND(H30,3) * I30</f>
        <v>0</v>
      </c>
      <c r="K30" s="116"/>
      <c r="L30" s="117">
        <f>ROUND(ROUND(H30,3) * ROUND(K30,2),2)</f>
        <v>0</v>
      </c>
    </row>
    <row r="31" spans="1:12" x14ac:dyDescent="0.2">
      <c r="A31" s="124" t="s">
        <v>49</v>
      </c>
      <c r="B31" s="125"/>
      <c r="F31" s="119" t="s">
        <v>17</v>
      </c>
      <c r="L31" s="127"/>
    </row>
    <row r="32" spans="1:12" x14ac:dyDescent="0.2">
      <c r="A32" s="107" t="s">
        <v>51</v>
      </c>
      <c r="B32" s="125"/>
      <c r="F32" s="122" t="s">
        <v>539</v>
      </c>
      <c r="L32" s="127"/>
    </row>
    <row r="33" spans="1:12" ht="102" thickBot="1" x14ac:dyDescent="0.25">
      <c r="A33" s="124" t="s">
        <v>53</v>
      </c>
      <c r="B33" s="125"/>
      <c r="F33" s="123" t="s">
        <v>465</v>
      </c>
      <c r="L33" s="127"/>
    </row>
    <row r="34" spans="1:12" ht="11.25" customHeight="1" thickBot="1" x14ac:dyDescent="0.25">
      <c r="A34" s="124" t="s">
        <v>44</v>
      </c>
      <c r="B34" s="113">
        <v>6</v>
      </c>
      <c r="C34" s="114" t="s">
        <v>540</v>
      </c>
      <c r="D34" s="115" t="s">
        <v>60</v>
      </c>
      <c r="E34" s="115" t="s">
        <v>46</v>
      </c>
      <c r="F34" s="115" t="s">
        <v>541</v>
      </c>
      <c r="G34" s="114" t="s">
        <v>69</v>
      </c>
      <c r="H34" s="114">
        <f>ROUND(141.314,3)</f>
        <v>141.31399999999999</v>
      </c>
      <c r="I34" s="114">
        <v>0</v>
      </c>
      <c r="J34" s="114">
        <f>ROUND(H34,3) * I34</f>
        <v>0</v>
      </c>
      <c r="K34" s="116"/>
      <c r="L34" s="117">
        <f>ROUND(ROUND(H34,3) * ROUND(K34,2),2)</f>
        <v>0</v>
      </c>
    </row>
    <row r="35" spans="1:12" x14ac:dyDescent="0.2">
      <c r="A35" s="124" t="s">
        <v>49</v>
      </c>
      <c r="B35" s="125"/>
      <c r="F35" s="119" t="s">
        <v>17</v>
      </c>
      <c r="L35" s="127"/>
    </row>
    <row r="36" spans="1:12" x14ac:dyDescent="0.2">
      <c r="A36" s="107" t="s">
        <v>51</v>
      </c>
      <c r="B36" s="125"/>
      <c r="F36" s="122" t="s">
        <v>542</v>
      </c>
      <c r="L36" s="127"/>
    </row>
    <row r="37" spans="1:12" ht="102" thickBot="1" x14ac:dyDescent="0.25">
      <c r="A37" s="124" t="s">
        <v>53</v>
      </c>
      <c r="B37" s="125"/>
      <c r="F37" s="123" t="s">
        <v>465</v>
      </c>
      <c r="L37" s="127"/>
    </row>
    <row r="38" spans="1:12" ht="11.25" customHeight="1" thickBot="1" x14ac:dyDescent="0.25">
      <c r="A38" s="124" t="s">
        <v>44</v>
      </c>
      <c r="B38" s="113">
        <v>7</v>
      </c>
      <c r="C38" s="114" t="s">
        <v>466</v>
      </c>
      <c r="D38" s="115" t="s">
        <v>60</v>
      </c>
      <c r="E38" s="115" t="s">
        <v>46</v>
      </c>
      <c r="F38" s="115" t="s">
        <v>467</v>
      </c>
      <c r="G38" s="114" t="s">
        <v>69</v>
      </c>
      <c r="H38" s="114">
        <f>ROUND(182.4,3)</f>
        <v>182.4</v>
      </c>
      <c r="I38" s="114">
        <v>0</v>
      </c>
      <c r="J38" s="114">
        <f>ROUND(H38,3) * I38</f>
        <v>0</v>
      </c>
      <c r="K38" s="116"/>
      <c r="L38" s="117">
        <f>ROUND(ROUND(H38,3) * ROUND(K38,2),2)</f>
        <v>0</v>
      </c>
    </row>
    <row r="39" spans="1:12" x14ac:dyDescent="0.2">
      <c r="A39" s="124" t="s">
        <v>49</v>
      </c>
      <c r="B39" s="125"/>
      <c r="F39" s="119" t="s">
        <v>17</v>
      </c>
      <c r="L39" s="127"/>
    </row>
    <row r="40" spans="1:12" x14ac:dyDescent="0.2">
      <c r="A40" s="107" t="s">
        <v>51</v>
      </c>
      <c r="B40" s="125"/>
      <c r="F40" s="122" t="s">
        <v>543</v>
      </c>
      <c r="L40" s="127"/>
    </row>
    <row r="41" spans="1:12" ht="102" thickBot="1" x14ac:dyDescent="0.25">
      <c r="A41" s="124" t="s">
        <v>53</v>
      </c>
      <c r="B41" s="125"/>
      <c r="F41" s="123" t="s">
        <v>465</v>
      </c>
      <c r="L41" s="127"/>
    </row>
    <row r="42" spans="1:12" ht="11.25" customHeight="1" thickBot="1" x14ac:dyDescent="0.25">
      <c r="A42" s="124" t="s">
        <v>44</v>
      </c>
      <c r="B42" s="113">
        <v>8</v>
      </c>
      <c r="C42" s="114" t="s">
        <v>469</v>
      </c>
      <c r="D42" s="115" t="s">
        <v>60</v>
      </c>
      <c r="E42" s="115" t="s">
        <v>46</v>
      </c>
      <c r="F42" s="115" t="s">
        <v>470</v>
      </c>
      <c r="G42" s="114" t="s">
        <v>91</v>
      </c>
      <c r="H42" s="114">
        <f>ROUND(6,3)</f>
        <v>6</v>
      </c>
      <c r="I42" s="114">
        <v>0</v>
      </c>
      <c r="J42" s="114">
        <f>ROUND(H42,3) * I42</f>
        <v>0</v>
      </c>
      <c r="K42" s="116"/>
      <c r="L42" s="117">
        <f>ROUND(ROUND(H42,3) * ROUND(K42,2),2)</f>
        <v>0</v>
      </c>
    </row>
    <row r="43" spans="1:12" x14ac:dyDescent="0.2">
      <c r="A43" s="124" t="s">
        <v>49</v>
      </c>
      <c r="B43" s="125"/>
      <c r="F43" s="119" t="s">
        <v>17</v>
      </c>
      <c r="L43" s="127"/>
    </row>
    <row r="44" spans="1:12" x14ac:dyDescent="0.2">
      <c r="A44" s="107" t="s">
        <v>51</v>
      </c>
      <c r="B44" s="125"/>
      <c r="F44" s="122" t="s">
        <v>544</v>
      </c>
      <c r="L44" s="127"/>
    </row>
    <row r="45" spans="1:12" ht="203.25" thickBot="1" x14ac:dyDescent="0.25">
      <c r="A45" s="124" t="s">
        <v>53</v>
      </c>
      <c r="B45" s="125"/>
      <c r="F45" s="123" t="s">
        <v>472</v>
      </c>
      <c r="L45" s="127"/>
    </row>
    <row r="46" spans="1:12" ht="11.25" customHeight="1" thickBot="1" x14ac:dyDescent="0.25">
      <c r="A46" s="124" t="s">
        <v>44</v>
      </c>
      <c r="B46" s="113">
        <v>9</v>
      </c>
      <c r="C46" s="114" t="s">
        <v>473</v>
      </c>
      <c r="D46" s="115" t="s">
        <v>60</v>
      </c>
      <c r="E46" s="115" t="s">
        <v>46</v>
      </c>
      <c r="F46" s="115" t="s">
        <v>474</v>
      </c>
      <c r="G46" s="114" t="s">
        <v>69</v>
      </c>
      <c r="H46" s="114">
        <f>ROUND(182.049,3)</f>
        <v>182.04900000000001</v>
      </c>
      <c r="I46" s="114">
        <v>0</v>
      </c>
      <c r="J46" s="114">
        <f>ROUND(H46,3) * I46</f>
        <v>0</v>
      </c>
      <c r="K46" s="116"/>
      <c r="L46" s="117">
        <f>ROUND(ROUND(H46,3) * ROUND(K46,2),2)</f>
        <v>0</v>
      </c>
    </row>
    <row r="47" spans="1:12" x14ac:dyDescent="0.2">
      <c r="A47" s="124" t="s">
        <v>49</v>
      </c>
      <c r="B47" s="125"/>
      <c r="F47" s="119" t="s">
        <v>17</v>
      </c>
      <c r="L47" s="127"/>
    </row>
    <row r="48" spans="1:12" x14ac:dyDescent="0.2">
      <c r="A48" s="107" t="s">
        <v>51</v>
      </c>
      <c r="B48" s="125"/>
      <c r="F48" s="122" t="s">
        <v>545</v>
      </c>
      <c r="L48" s="127"/>
    </row>
    <row r="49" spans="1:12" ht="147" thickBot="1" x14ac:dyDescent="0.25">
      <c r="A49" s="124" t="s">
        <v>53</v>
      </c>
      <c r="B49" s="125"/>
      <c r="F49" s="123" t="s">
        <v>476</v>
      </c>
      <c r="L49" s="127"/>
    </row>
    <row r="50" spans="1:12" ht="13.5" customHeight="1" thickBot="1" x14ac:dyDescent="0.25">
      <c r="B50" s="128" t="s">
        <v>58</v>
      </c>
      <c r="C50" s="129" t="s">
        <v>59</v>
      </c>
      <c r="D50" s="130"/>
      <c r="E50" s="130"/>
      <c r="F50" s="130" t="s">
        <v>426</v>
      </c>
      <c r="G50" s="130"/>
      <c r="H50" s="130"/>
      <c r="I50" s="130"/>
      <c r="J50" s="130"/>
      <c r="K50" s="130"/>
      <c r="L50" s="131">
        <f>SUM(L14:L49)</f>
        <v>0</v>
      </c>
    </row>
    <row r="51" spans="1:12" ht="20.100000000000001" customHeight="1" thickBot="1" x14ac:dyDescent="0.25">
      <c r="A51" s="124" t="s">
        <v>40</v>
      </c>
      <c r="B51" s="132" t="s">
        <v>41</v>
      </c>
      <c r="C51" s="109" t="s">
        <v>382</v>
      </c>
      <c r="D51" s="110"/>
      <c r="E51" s="110"/>
      <c r="F51" s="111" t="s">
        <v>435</v>
      </c>
      <c r="G51" s="110"/>
      <c r="H51" s="110"/>
      <c r="I51" s="110"/>
      <c r="J51" s="110"/>
      <c r="K51" s="110"/>
      <c r="L51" s="112"/>
    </row>
    <row r="52" spans="1:12" ht="11.25" customHeight="1" thickBot="1" x14ac:dyDescent="0.25">
      <c r="A52" s="124" t="s">
        <v>44</v>
      </c>
      <c r="B52" s="113">
        <v>10</v>
      </c>
      <c r="C52" s="114" t="s">
        <v>484</v>
      </c>
      <c r="D52" s="115" t="s">
        <v>60</v>
      </c>
      <c r="E52" s="115" t="s">
        <v>46</v>
      </c>
      <c r="F52" s="115" t="s">
        <v>485</v>
      </c>
      <c r="G52" s="114" t="s">
        <v>91</v>
      </c>
      <c r="H52" s="114">
        <f>ROUND(4,3)</f>
        <v>4</v>
      </c>
      <c r="I52" s="114">
        <v>0</v>
      </c>
      <c r="J52" s="114">
        <f>ROUND(H52,3) * I52</f>
        <v>0</v>
      </c>
      <c r="K52" s="116"/>
      <c r="L52" s="117">
        <f>ROUND(ROUND(H52,3) * ROUND(K52,2),2)</f>
        <v>0</v>
      </c>
    </row>
    <row r="53" spans="1:12" x14ac:dyDescent="0.2">
      <c r="A53" s="124" t="s">
        <v>49</v>
      </c>
      <c r="B53" s="125"/>
      <c r="F53" s="119" t="s">
        <v>17</v>
      </c>
      <c r="L53" s="127"/>
    </row>
    <row r="54" spans="1:12" x14ac:dyDescent="0.2">
      <c r="A54" s="107" t="s">
        <v>51</v>
      </c>
      <c r="B54" s="125"/>
      <c r="F54" s="122" t="s">
        <v>471</v>
      </c>
      <c r="L54" s="127"/>
    </row>
    <row r="55" spans="1:12" ht="135.75" thickBot="1" x14ac:dyDescent="0.25">
      <c r="A55" s="124" t="s">
        <v>53</v>
      </c>
      <c r="B55" s="125"/>
      <c r="F55" s="123" t="s">
        <v>487</v>
      </c>
      <c r="L55" s="127"/>
    </row>
    <row r="56" spans="1:12" ht="11.25" customHeight="1" thickBot="1" x14ac:dyDescent="0.25">
      <c r="A56" s="124" t="s">
        <v>44</v>
      </c>
      <c r="B56" s="113">
        <v>11</v>
      </c>
      <c r="C56" s="114" t="s">
        <v>488</v>
      </c>
      <c r="D56" s="115" t="s">
        <v>60</v>
      </c>
      <c r="E56" s="115" t="s">
        <v>46</v>
      </c>
      <c r="F56" s="115" t="s">
        <v>489</v>
      </c>
      <c r="G56" s="114" t="s">
        <v>64</v>
      </c>
      <c r="H56" s="114">
        <f>ROUND(67.181,3)</f>
        <v>67.180999999999997</v>
      </c>
      <c r="I56" s="114">
        <v>0</v>
      </c>
      <c r="J56" s="114">
        <f>ROUND(H56,3) * I56</f>
        <v>0</v>
      </c>
      <c r="K56" s="116"/>
      <c r="L56" s="117">
        <f>ROUND(ROUND(H56,3) * ROUND(K56,2),2)</f>
        <v>0</v>
      </c>
    </row>
    <row r="57" spans="1:12" x14ac:dyDescent="0.2">
      <c r="A57" s="124" t="s">
        <v>49</v>
      </c>
      <c r="B57" s="125"/>
      <c r="F57" s="119" t="s">
        <v>17</v>
      </c>
      <c r="L57" s="127"/>
    </row>
    <row r="58" spans="1:12" x14ac:dyDescent="0.2">
      <c r="A58" s="107" t="s">
        <v>51</v>
      </c>
      <c r="B58" s="125"/>
      <c r="F58" s="122" t="s">
        <v>546</v>
      </c>
      <c r="L58" s="127"/>
    </row>
    <row r="59" spans="1:12" ht="102" thickBot="1" x14ac:dyDescent="0.25">
      <c r="A59" s="124" t="s">
        <v>53</v>
      </c>
      <c r="B59" s="125"/>
      <c r="F59" s="123" t="s">
        <v>491</v>
      </c>
      <c r="L59" s="127"/>
    </row>
    <row r="60" spans="1:12" ht="11.25" customHeight="1" thickBot="1" x14ac:dyDescent="0.25">
      <c r="A60" s="124" t="s">
        <v>44</v>
      </c>
      <c r="B60" s="113">
        <v>12</v>
      </c>
      <c r="C60" s="114" t="s">
        <v>492</v>
      </c>
      <c r="D60" s="115" t="s">
        <v>60</v>
      </c>
      <c r="E60" s="115" t="s">
        <v>46</v>
      </c>
      <c r="F60" s="115" t="s">
        <v>493</v>
      </c>
      <c r="G60" s="114" t="s">
        <v>494</v>
      </c>
      <c r="H60" s="114">
        <f>ROUND(671.81,3)</f>
        <v>671.81</v>
      </c>
      <c r="I60" s="114">
        <v>0</v>
      </c>
      <c r="J60" s="114">
        <f>ROUND(H60,3) * I60</f>
        <v>0</v>
      </c>
      <c r="K60" s="116"/>
      <c r="L60" s="117">
        <f>ROUND(ROUND(H60,3) * ROUND(K60,2),2)</f>
        <v>0</v>
      </c>
    </row>
    <row r="61" spans="1:12" x14ac:dyDescent="0.2">
      <c r="A61" s="124" t="s">
        <v>49</v>
      </c>
      <c r="B61" s="125"/>
      <c r="F61" s="119" t="s">
        <v>17</v>
      </c>
      <c r="L61" s="127"/>
    </row>
    <row r="62" spans="1:12" x14ac:dyDescent="0.2">
      <c r="A62" s="107" t="s">
        <v>51</v>
      </c>
      <c r="B62" s="125"/>
      <c r="F62" s="122" t="s">
        <v>547</v>
      </c>
      <c r="L62" s="127"/>
    </row>
    <row r="63" spans="1:12" ht="102" thickBot="1" x14ac:dyDescent="0.25">
      <c r="A63" s="124" t="s">
        <v>53</v>
      </c>
      <c r="B63" s="125"/>
      <c r="F63" s="123" t="s">
        <v>496</v>
      </c>
      <c r="L63" s="127"/>
    </row>
    <row r="64" spans="1:12" ht="11.25" customHeight="1" thickBot="1" x14ac:dyDescent="0.25">
      <c r="A64" s="124" t="s">
        <v>44</v>
      </c>
      <c r="B64" s="113">
        <v>13</v>
      </c>
      <c r="C64" s="114" t="s">
        <v>548</v>
      </c>
      <c r="D64" s="115" t="s">
        <v>60</v>
      </c>
      <c r="E64" s="115" t="s">
        <v>46</v>
      </c>
      <c r="F64" s="115" t="s">
        <v>549</v>
      </c>
      <c r="G64" s="114" t="s">
        <v>69</v>
      </c>
      <c r="H64" s="114">
        <f>ROUND(15.636,3)</f>
        <v>15.635999999999999</v>
      </c>
      <c r="I64" s="114">
        <v>0</v>
      </c>
      <c r="J64" s="114">
        <f>ROUND(H64,3) * I64</f>
        <v>0</v>
      </c>
      <c r="K64" s="116"/>
      <c r="L64" s="117">
        <f>ROUND(ROUND(H64,3) * ROUND(K64,2),2)</f>
        <v>0</v>
      </c>
    </row>
    <row r="65" spans="1:12" x14ac:dyDescent="0.2">
      <c r="A65" s="124" t="s">
        <v>49</v>
      </c>
      <c r="B65" s="125"/>
      <c r="F65" s="119" t="s">
        <v>17</v>
      </c>
      <c r="L65" s="127"/>
    </row>
    <row r="66" spans="1:12" x14ac:dyDescent="0.2">
      <c r="A66" s="107" t="s">
        <v>51</v>
      </c>
      <c r="B66" s="125"/>
      <c r="F66" s="122" t="s">
        <v>550</v>
      </c>
      <c r="L66" s="127"/>
    </row>
    <row r="67" spans="1:12" ht="135.75" thickBot="1" x14ac:dyDescent="0.25">
      <c r="A67" s="124" t="s">
        <v>53</v>
      </c>
      <c r="B67" s="125"/>
      <c r="F67" s="123" t="s">
        <v>551</v>
      </c>
      <c r="L67" s="127"/>
    </row>
    <row r="68" spans="1:12" ht="11.25" customHeight="1" thickBot="1" x14ac:dyDescent="0.25">
      <c r="A68" s="124" t="s">
        <v>44</v>
      </c>
      <c r="B68" s="113">
        <v>14</v>
      </c>
      <c r="C68" s="114" t="s">
        <v>497</v>
      </c>
      <c r="D68" s="115" t="s">
        <v>60</v>
      </c>
      <c r="E68" s="115" t="s">
        <v>46</v>
      </c>
      <c r="F68" s="115" t="s">
        <v>498</v>
      </c>
      <c r="G68" s="114" t="s">
        <v>69</v>
      </c>
      <c r="H68" s="114">
        <f>ROUND(21.687,3)</f>
        <v>21.687000000000001</v>
      </c>
      <c r="I68" s="114">
        <v>0</v>
      </c>
      <c r="J68" s="114">
        <f>ROUND(H68,3) * I68</f>
        <v>0</v>
      </c>
      <c r="K68" s="116"/>
      <c r="L68" s="117">
        <f>ROUND(ROUND(H68,3) * ROUND(K68,2),2)</f>
        <v>0</v>
      </c>
    </row>
    <row r="69" spans="1:12" x14ac:dyDescent="0.2">
      <c r="A69" s="124" t="s">
        <v>49</v>
      </c>
      <c r="B69" s="125"/>
      <c r="F69" s="119" t="s">
        <v>17</v>
      </c>
      <c r="L69" s="127"/>
    </row>
    <row r="70" spans="1:12" x14ac:dyDescent="0.2">
      <c r="A70" s="107" t="s">
        <v>51</v>
      </c>
      <c r="B70" s="125"/>
      <c r="F70" s="122" t="s">
        <v>552</v>
      </c>
      <c r="L70" s="127"/>
    </row>
    <row r="71" spans="1:12" ht="158.25" thickBot="1" x14ac:dyDescent="0.25">
      <c r="A71" s="124" t="s">
        <v>53</v>
      </c>
      <c r="B71" s="125"/>
      <c r="F71" s="123" t="s">
        <v>501</v>
      </c>
      <c r="L71" s="127"/>
    </row>
    <row r="72" spans="1:12" ht="11.25" customHeight="1" thickBot="1" x14ac:dyDescent="0.25">
      <c r="A72" s="124" t="s">
        <v>44</v>
      </c>
      <c r="B72" s="113">
        <v>15</v>
      </c>
      <c r="C72" s="114" t="s">
        <v>502</v>
      </c>
      <c r="D72" s="115" t="s">
        <v>60</v>
      </c>
      <c r="E72" s="115" t="s">
        <v>46</v>
      </c>
      <c r="F72" s="115" t="s">
        <v>503</v>
      </c>
      <c r="G72" s="114" t="s">
        <v>504</v>
      </c>
      <c r="H72" s="114">
        <f>ROUND(31.212,3)</f>
        <v>31.212</v>
      </c>
      <c r="I72" s="114">
        <v>0</v>
      </c>
      <c r="J72" s="114">
        <f>ROUND(H72,3) * I72</f>
        <v>0</v>
      </c>
      <c r="K72" s="116"/>
      <c r="L72" s="117">
        <f>ROUND(ROUND(H72,3) * ROUND(K72,2),2)</f>
        <v>0</v>
      </c>
    </row>
    <row r="73" spans="1:12" x14ac:dyDescent="0.2">
      <c r="A73" s="124" t="s">
        <v>49</v>
      </c>
      <c r="B73" s="125"/>
      <c r="F73" s="119" t="s">
        <v>17</v>
      </c>
      <c r="L73" s="127"/>
    </row>
    <row r="74" spans="1:12" x14ac:dyDescent="0.2">
      <c r="A74" s="107" t="s">
        <v>51</v>
      </c>
      <c r="B74" s="125"/>
      <c r="F74" s="122" t="s">
        <v>553</v>
      </c>
      <c r="L74" s="127"/>
    </row>
    <row r="75" spans="1:12" ht="90.75" thickBot="1" x14ac:dyDescent="0.25">
      <c r="A75" s="124" t="s">
        <v>53</v>
      </c>
      <c r="B75" s="125"/>
      <c r="F75" s="123" t="s">
        <v>506</v>
      </c>
      <c r="L75" s="127"/>
    </row>
    <row r="76" spans="1:12" ht="11.25" customHeight="1" thickBot="1" x14ac:dyDescent="0.25">
      <c r="A76" s="124" t="s">
        <v>44</v>
      </c>
      <c r="B76" s="113">
        <v>16</v>
      </c>
      <c r="C76" s="114" t="s">
        <v>554</v>
      </c>
      <c r="D76" s="115" t="s">
        <v>60</v>
      </c>
      <c r="E76" s="115" t="s">
        <v>46</v>
      </c>
      <c r="F76" s="115" t="s">
        <v>555</v>
      </c>
      <c r="G76" s="114" t="s">
        <v>69</v>
      </c>
      <c r="H76" s="114">
        <f>ROUND(3,3)</f>
        <v>3</v>
      </c>
      <c r="I76" s="114">
        <v>0</v>
      </c>
      <c r="J76" s="114">
        <f>ROUND(H76,3) * I76</f>
        <v>0</v>
      </c>
      <c r="K76" s="116"/>
      <c r="L76" s="117">
        <f>ROUND(ROUND(H76,3) * ROUND(K76,2),2)</f>
        <v>0</v>
      </c>
    </row>
    <row r="77" spans="1:12" x14ac:dyDescent="0.2">
      <c r="A77" s="124" t="s">
        <v>49</v>
      </c>
      <c r="B77" s="125"/>
      <c r="F77" s="119" t="s">
        <v>556</v>
      </c>
      <c r="L77" s="127"/>
    </row>
    <row r="78" spans="1:12" x14ac:dyDescent="0.2">
      <c r="A78" s="107" t="s">
        <v>51</v>
      </c>
      <c r="B78" s="125"/>
      <c r="F78" s="122" t="s">
        <v>557</v>
      </c>
      <c r="L78" s="127"/>
    </row>
    <row r="79" spans="1:12" ht="135.75" thickBot="1" x14ac:dyDescent="0.25">
      <c r="A79" s="124" t="s">
        <v>53</v>
      </c>
      <c r="B79" s="125"/>
      <c r="F79" s="123" t="s">
        <v>558</v>
      </c>
      <c r="L79" s="127"/>
    </row>
    <row r="80" spans="1:12" ht="13.5" customHeight="1" thickBot="1" x14ac:dyDescent="0.25">
      <c r="B80" s="128" t="s">
        <v>58</v>
      </c>
      <c r="C80" s="129" t="s">
        <v>59</v>
      </c>
      <c r="D80" s="130"/>
      <c r="E80" s="130"/>
      <c r="F80" s="130" t="s">
        <v>435</v>
      </c>
      <c r="G80" s="130"/>
      <c r="H80" s="130"/>
      <c r="I80" s="130"/>
      <c r="J80" s="130"/>
      <c r="K80" s="130"/>
      <c r="L80" s="131">
        <f>SUM(L52:L79)</f>
        <v>0</v>
      </c>
    </row>
    <row r="81" spans="1:12" ht="20.100000000000001" customHeight="1" thickBot="1" x14ac:dyDescent="0.25">
      <c r="A81" s="124" t="s">
        <v>40</v>
      </c>
      <c r="B81" s="132" t="s">
        <v>41</v>
      </c>
      <c r="C81" s="109" t="s">
        <v>441</v>
      </c>
      <c r="D81" s="110"/>
      <c r="E81" s="110"/>
      <c r="F81" s="111" t="s">
        <v>442</v>
      </c>
      <c r="G81" s="110"/>
      <c r="H81" s="110"/>
      <c r="I81" s="110"/>
      <c r="J81" s="110"/>
      <c r="K81" s="110"/>
      <c r="L81" s="112"/>
    </row>
    <row r="82" spans="1:12" ht="11.25" customHeight="1" thickBot="1" x14ac:dyDescent="0.25">
      <c r="A82" s="124" t="s">
        <v>44</v>
      </c>
      <c r="B82" s="113">
        <v>17</v>
      </c>
      <c r="C82" s="114" t="s">
        <v>507</v>
      </c>
      <c r="D82" s="115" t="s">
        <v>508</v>
      </c>
      <c r="E82" s="115"/>
      <c r="F82" s="115" t="s">
        <v>509</v>
      </c>
      <c r="G82" s="114" t="s">
        <v>510</v>
      </c>
      <c r="H82" s="114">
        <f>ROUND(120.926,3)</f>
        <v>120.926</v>
      </c>
      <c r="I82" s="114">
        <v>0</v>
      </c>
      <c r="J82" s="114">
        <f>ROUND(H82,3) * I82</f>
        <v>0</v>
      </c>
      <c r="K82" s="116"/>
      <c r="L82" s="117">
        <f>ROUND(ROUND(H82,3) * ROUND(K82,2),2)</f>
        <v>0</v>
      </c>
    </row>
    <row r="83" spans="1:12" x14ac:dyDescent="0.2">
      <c r="A83" s="124" t="s">
        <v>49</v>
      </c>
      <c r="B83" s="125"/>
      <c r="F83" s="119" t="s">
        <v>511</v>
      </c>
      <c r="L83" s="127"/>
    </row>
    <row r="84" spans="1:12" x14ac:dyDescent="0.2">
      <c r="A84" s="107" t="s">
        <v>51</v>
      </c>
      <c r="B84" s="125"/>
      <c r="F84" s="122" t="s">
        <v>559</v>
      </c>
      <c r="L84" s="127"/>
    </row>
    <row r="85" spans="1:12" ht="102" thickBot="1" x14ac:dyDescent="0.25">
      <c r="A85" s="124" t="s">
        <v>53</v>
      </c>
      <c r="B85" s="125"/>
      <c r="F85" s="123" t="s">
        <v>513</v>
      </c>
      <c r="L85" s="127"/>
    </row>
    <row r="86" spans="1:12" ht="11.25" customHeight="1" thickBot="1" x14ac:dyDescent="0.25">
      <c r="A86" s="124" t="s">
        <v>44</v>
      </c>
      <c r="B86" s="113">
        <v>18</v>
      </c>
      <c r="C86" s="114" t="s">
        <v>517</v>
      </c>
      <c r="D86" s="115" t="s">
        <v>508</v>
      </c>
      <c r="E86" s="115"/>
      <c r="F86" s="115" t="s">
        <v>518</v>
      </c>
      <c r="G86" s="114" t="s">
        <v>510</v>
      </c>
      <c r="H86" s="114">
        <f>ROUND(2.601,3)</f>
        <v>2.601</v>
      </c>
      <c r="I86" s="114">
        <v>0</v>
      </c>
      <c r="J86" s="114">
        <f>ROUND(H86,3) * I86</f>
        <v>0</v>
      </c>
      <c r="K86" s="116"/>
      <c r="L86" s="117">
        <f>ROUND(ROUND(H86,3) * ROUND(K86,2),2)</f>
        <v>0</v>
      </c>
    </row>
    <row r="87" spans="1:12" x14ac:dyDescent="0.2">
      <c r="A87" s="124" t="s">
        <v>49</v>
      </c>
      <c r="B87" s="125"/>
      <c r="F87" s="119" t="s">
        <v>511</v>
      </c>
      <c r="L87" s="127"/>
    </row>
    <row r="88" spans="1:12" x14ac:dyDescent="0.2">
      <c r="A88" s="107" t="s">
        <v>51</v>
      </c>
      <c r="B88" s="125"/>
      <c r="F88" s="122" t="s">
        <v>560</v>
      </c>
      <c r="L88" s="127"/>
    </row>
    <row r="89" spans="1:12" ht="102" thickBot="1" x14ac:dyDescent="0.25">
      <c r="A89" s="124" t="s">
        <v>53</v>
      </c>
      <c r="B89" s="125"/>
      <c r="F89" s="123" t="s">
        <v>513</v>
      </c>
      <c r="L89" s="127"/>
    </row>
    <row r="90" spans="1:12" ht="13.5" customHeight="1" thickBot="1" x14ac:dyDescent="0.25">
      <c r="B90" s="128" t="s">
        <v>58</v>
      </c>
      <c r="C90" s="129" t="s">
        <v>59</v>
      </c>
      <c r="D90" s="130"/>
      <c r="E90" s="130"/>
      <c r="F90" s="130" t="s">
        <v>442</v>
      </c>
      <c r="G90" s="130"/>
      <c r="H90" s="130"/>
      <c r="I90" s="130"/>
      <c r="J90" s="130"/>
      <c r="K90" s="130"/>
      <c r="L90" s="131">
        <f>SUM(L82:L89)</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94" priority="1">
      <formula>$E$5="Ostatní"</formula>
    </cfRule>
    <cfRule type="expression" dxfId="193"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68FF8216-01F6-4F54-A61E-3B260251E739}"/>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524946F8-F4A4-46F4-ABBF-98F2E6394844}">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B1EF88CA-A357-454A-B5D4-3D35B8376365}">
      <formula1>42370</formula1>
      <formula2>55153</formula2>
    </dataValidation>
    <dataValidation allowBlank="1" showInputMessage="1" showErrorMessage="1" promptTitle="S-kód" prompt="Číslo pod kterým je stavba evidovaná v systému SŽDC." sqref="K6" xr:uid="{65346C8A-320A-45FE-BA71-C315085FA80C}"/>
    <dataValidation type="date" allowBlank="1" showInputMessage="1" showErrorMessage="1" errorTitle="Špatný datum" error="Datum musí být v rozmezí_x000a_od 1.1.2016_x000a_do 31.12.2050" promptTitle="Vložit datum" prompt="ve formátu: dd.mm.rrrr" sqref="K8" xr:uid="{8BA1F202-EAA2-41C7-B1FB-F91E63758257}">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1DE0E346-0B5D-46BE-92BB-69E7CE0913B2}">
      <formula1>"801,802,803,811,812, 813, 814,815, 817, 821,822, 823,824,825,826,827,828,831,832,833,838,839"</formula1>
    </dataValidation>
    <dataValidation type="list" allowBlank="1" showInputMessage="1" showErrorMessage="1" promptTitle="Výběr stádia dle seznamu:" prompt="Stádium 3_x000a_Stádium 2" sqref="E5" xr:uid="{D63AB1F8-0459-47DA-9DF3-B88222A2587D}">
      <formula1>"Stádium 2,Stádium 3"</formula1>
    </dataValidation>
    <dataValidation type="date" allowBlank="1" showInputMessage="1" showErrorMessage="1" sqref="L8" xr:uid="{1DD2F6E5-BB53-46C0-A53A-B8579ECA9183}">
      <formula1>42370</formula1>
      <formula2>55153</formula2>
    </dataValidation>
    <dataValidation type="list" allowBlank="1" showInputMessage="1" showErrorMessage="1" sqref="E6" xr:uid="{021CFE63-C0E8-45D8-9AB0-EFD6066A0354}">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9C488-8FFA-4F31-992F-A6BA373A2E53}">
  <sheetPr codeName="List8">
    <pageSetUpPr fitToPage="1"/>
  </sheetPr>
  <dimension ref="A1:O46"/>
  <sheetViews>
    <sheetView showGridLines="0" topLeftCell="B1" zoomScale="85" zoomScaleNormal="85" zoomScaleSheetLayoutView="85" workbookViewId="0">
      <pane ySplit="12" topLeftCell="A34" activePane="bottomLeft" state="frozen"/>
      <selection activeCell="B1" sqref="B1"/>
      <selection pane="bottomLeft" activeCell="K14" sqref="K14:K46"/>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561</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561</v>
      </c>
      <c r="E3" s="79"/>
      <c r="F3" s="80" t="s">
        <v>562</v>
      </c>
      <c r="G3" s="81"/>
      <c r="H3" s="82"/>
      <c r="I3" s="83"/>
      <c r="J3" s="84"/>
      <c r="K3" s="248"/>
      <c r="L3" s="249"/>
    </row>
    <row r="4" spans="1:15" s="67" customFormat="1" ht="18" customHeight="1" thickTop="1" x14ac:dyDescent="0.25">
      <c r="B4" s="256" t="s">
        <v>8</v>
      </c>
      <c r="C4" s="245"/>
      <c r="D4" s="253"/>
      <c r="E4" s="85" t="s">
        <v>424</v>
      </c>
      <c r="F4" s="86" t="str">
        <f>INDEX('[8]Kategorie monitoringu'!A1:B34,MATCH(E4,'[8]Kategorie monitoringu'!A1:A34,0),2)</f>
        <v xml:space="preserve"> Kolejový svršek a spodek </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442</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60</v>
      </c>
      <c r="D13" s="110"/>
      <c r="E13" s="110"/>
      <c r="F13" s="111" t="s">
        <v>61</v>
      </c>
      <c r="G13" s="110"/>
      <c r="H13" s="110"/>
      <c r="I13" s="110"/>
      <c r="J13" s="110"/>
      <c r="K13" s="110"/>
      <c r="L13" s="112"/>
    </row>
    <row r="14" spans="1:15" s="107" customFormat="1" ht="11.25" customHeight="1" thickBot="1" x14ac:dyDescent="0.3">
      <c r="A14" s="107" t="s">
        <v>44</v>
      </c>
      <c r="B14" s="113">
        <v>1</v>
      </c>
      <c r="C14" s="114" t="s">
        <v>563</v>
      </c>
      <c r="D14" s="115" t="s">
        <v>60</v>
      </c>
      <c r="E14" s="115" t="s">
        <v>46</v>
      </c>
      <c r="F14" s="115" t="s">
        <v>564</v>
      </c>
      <c r="G14" s="114" t="s">
        <v>64</v>
      </c>
      <c r="H14" s="114">
        <f>ROUND(41.28,3)</f>
        <v>41.28</v>
      </c>
      <c r="I14" s="114">
        <v>0</v>
      </c>
      <c r="J14" s="114">
        <f>ROUND(H14,3) * I14</f>
        <v>0</v>
      </c>
      <c r="K14" s="116"/>
      <c r="L14" s="117">
        <f>ROUND(ROUND(H14,3) * ROUND(K14,2),2)</f>
        <v>0</v>
      </c>
    </row>
    <row r="15" spans="1:15" s="107" customFormat="1" x14ac:dyDescent="0.25">
      <c r="A15" s="107" t="s">
        <v>49</v>
      </c>
      <c r="B15" s="118"/>
      <c r="F15" s="119" t="s">
        <v>17</v>
      </c>
      <c r="G15" s="120"/>
      <c r="H15" s="120"/>
      <c r="I15" s="120"/>
      <c r="J15" s="120"/>
      <c r="K15" s="120"/>
      <c r="L15" s="121"/>
    </row>
    <row r="16" spans="1:15" s="107" customFormat="1" x14ac:dyDescent="0.25">
      <c r="A16" s="107" t="s">
        <v>51</v>
      </c>
      <c r="B16" s="118"/>
      <c r="F16" s="122" t="s">
        <v>565</v>
      </c>
      <c r="G16" s="120"/>
      <c r="H16" s="120"/>
      <c r="I16" s="120"/>
      <c r="J16" s="120"/>
      <c r="K16" s="120"/>
      <c r="L16" s="121"/>
    </row>
    <row r="17" spans="1:12" s="107" customFormat="1" ht="304.5" thickBot="1" x14ac:dyDescent="0.3">
      <c r="A17" s="107" t="s">
        <v>53</v>
      </c>
      <c r="B17" s="118"/>
      <c r="F17" s="123" t="s">
        <v>566</v>
      </c>
      <c r="G17" s="120"/>
      <c r="H17" s="120"/>
      <c r="I17" s="120"/>
      <c r="J17" s="120"/>
      <c r="K17" s="120"/>
      <c r="L17" s="121"/>
    </row>
    <row r="18" spans="1:12" ht="13.5" customHeight="1" thickBot="1" x14ac:dyDescent="0.25">
      <c r="B18" s="128" t="s">
        <v>58</v>
      </c>
      <c r="C18" s="129" t="s">
        <v>59</v>
      </c>
      <c r="D18" s="130"/>
      <c r="E18" s="130"/>
      <c r="F18" s="130" t="s">
        <v>61</v>
      </c>
      <c r="G18" s="130"/>
      <c r="H18" s="130"/>
      <c r="I18" s="130"/>
      <c r="J18" s="130"/>
      <c r="K18" s="130"/>
      <c r="L18" s="131">
        <f>SUM(L14:L17)</f>
        <v>0</v>
      </c>
    </row>
    <row r="19" spans="1:12" ht="20.100000000000001" customHeight="1" thickBot="1" x14ac:dyDescent="0.25">
      <c r="A19" s="124" t="s">
        <v>40</v>
      </c>
      <c r="B19" s="132" t="s">
        <v>41</v>
      </c>
      <c r="C19" s="109" t="s">
        <v>198</v>
      </c>
      <c r="D19" s="110"/>
      <c r="E19" s="110"/>
      <c r="F19" s="111" t="s">
        <v>567</v>
      </c>
      <c r="G19" s="110"/>
      <c r="H19" s="110"/>
      <c r="I19" s="110"/>
      <c r="J19" s="110"/>
      <c r="K19" s="110"/>
      <c r="L19" s="112"/>
    </row>
    <row r="20" spans="1:12" ht="11.25" customHeight="1" thickBot="1" x14ac:dyDescent="0.25">
      <c r="A20" s="124" t="s">
        <v>44</v>
      </c>
      <c r="B20" s="113">
        <v>2</v>
      </c>
      <c r="C20" s="114" t="s">
        <v>568</v>
      </c>
      <c r="D20" s="115" t="s">
        <v>60</v>
      </c>
      <c r="E20" s="115" t="s">
        <v>46</v>
      </c>
      <c r="F20" s="115" t="s">
        <v>569</v>
      </c>
      <c r="G20" s="114" t="s">
        <v>81</v>
      </c>
      <c r="H20" s="114">
        <f>ROUND(43.23,3)</f>
        <v>43.23</v>
      </c>
      <c r="I20" s="114">
        <v>0</v>
      </c>
      <c r="J20" s="114">
        <f>ROUND(H20,3) * I20</f>
        <v>0</v>
      </c>
      <c r="K20" s="116"/>
      <c r="L20" s="117">
        <f>ROUND(ROUND(H20,3) * ROUND(K20,2),2)</f>
        <v>0</v>
      </c>
    </row>
    <row r="21" spans="1:12" x14ac:dyDescent="0.2">
      <c r="A21" s="124" t="s">
        <v>49</v>
      </c>
      <c r="B21" s="125"/>
      <c r="F21" s="119" t="s">
        <v>17</v>
      </c>
      <c r="L21" s="127"/>
    </row>
    <row r="22" spans="1:12" x14ac:dyDescent="0.2">
      <c r="A22" s="107" t="s">
        <v>51</v>
      </c>
      <c r="B22" s="125"/>
      <c r="F22" s="122" t="s">
        <v>570</v>
      </c>
      <c r="L22" s="127"/>
    </row>
    <row r="23" spans="1:12" ht="23.25" thickBot="1" x14ac:dyDescent="0.25">
      <c r="A23" s="124" t="s">
        <v>53</v>
      </c>
      <c r="B23" s="125"/>
      <c r="F23" s="123" t="s">
        <v>571</v>
      </c>
      <c r="L23" s="127"/>
    </row>
    <row r="24" spans="1:12" ht="11.25" customHeight="1" thickBot="1" x14ac:dyDescent="0.25">
      <c r="A24" s="124" t="s">
        <v>44</v>
      </c>
      <c r="B24" s="113">
        <v>3</v>
      </c>
      <c r="C24" s="114" t="s">
        <v>572</v>
      </c>
      <c r="D24" s="115" t="s">
        <v>60</v>
      </c>
      <c r="E24" s="115" t="s">
        <v>46</v>
      </c>
      <c r="F24" s="115" t="s">
        <v>573</v>
      </c>
      <c r="G24" s="114" t="s">
        <v>69</v>
      </c>
      <c r="H24" s="114">
        <f>ROUND(33.4,3)</f>
        <v>33.4</v>
      </c>
      <c r="I24" s="114">
        <v>0</v>
      </c>
      <c r="J24" s="114">
        <f>ROUND(H24,3) * I24</f>
        <v>0</v>
      </c>
      <c r="K24" s="116"/>
      <c r="L24" s="117">
        <f>ROUND(ROUND(H24,3) * ROUND(K24,2),2)</f>
        <v>0</v>
      </c>
    </row>
    <row r="25" spans="1:12" x14ac:dyDescent="0.2">
      <c r="A25" s="124" t="s">
        <v>49</v>
      </c>
      <c r="B25" s="125"/>
      <c r="F25" s="119" t="s">
        <v>17</v>
      </c>
      <c r="L25" s="127"/>
    </row>
    <row r="26" spans="1:12" x14ac:dyDescent="0.2">
      <c r="A26" s="107" t="s">
        <v>51</v>
      </c>
      <c r="B26" s="125"/>
      <c r="F26" s="122" t="s">
        <v>574</v>
      </c>
      <c r="L26" s="127"/>
    </row>
    <row r="27" spans="1:12" ht="124.5" thickBot="1" x14ac:dyDescent="0.25">
      <c r="A27" s="124" t="s">
        <v>53</v>
      </c>
      <c r="B27" s="125"/>
      <c r="F27" s="123" t="s">
        <v>575</v>
      </c>
      <c r="L27" s="127"/>
    </row>
    <row r="28" spans="1:12" ht="13.5" customHeight="1" thickBot="1" x14ac:dyDescent="0.25">
      <c r="B28" s="128" t="s">
        <v>58</v>
      </c>
      <c r="C28" s="129" t="s">
        <v>59</v>
      </c>
      <c r="D28" s="130"/>
      <c r="E28" s="130"/>
      <c r="F28" s="130" t="s">
        <v>567</v>
      </c>
      <c r="G28" s="130"/>
      <c r="H28" s="130"/>
      <c r="I28" s="130"/>
      <c r="J28" s="130"/>
      <c r="K28" s="130"/>
      <c r="L28" s="131">
        <f>SUM(L20:L27)</f>
        <v>0</v>
      </c>
    </row>
    <row r="29" spans="1:12" ht="20.100000000000001" customHeight="1" thickBot="1" x14ac:dyDescent="0.25">
      <c r="A29" s="124" t="s">
        <v>40</v>
      </c>
      <c r="B29" s="132" t="s">
        <v>41</v>
      </c>
      <c r="C29" s="109" t="s">
        <v>425</v>
      </c>
      <c r="D29" s="110"/>
      <c r="E29" s="110"/>
      <c r="F29" s="111" t="s">
        <v>426</v>
      </c>
      <c r="G29" s="110"/>
      <c r="H29" s="110"/>
      <c r="I29" s="110"/>
      <c r="J29" s="110"/>
      <c r="K29" s="110"/>
      <c r="L29" s="112"/>
    </row>
    <row r="30" spans="1:12" ht="11.25" customHeight="1" thickBot="1" x14ac:dyDescent="0.25">
      <c r="A30" s="124" t="s">
        <v>44</v>
      </c>
      <c r="B30" s="113">
        <v>4</v>
      </c>
      <c r="C30" s="114" t="s">
        <v>576</v>
      </c>
      <c r="D30" s="115" t="s">
        <v>60</v>
      </c>
      <c r="E30" s="115" t="s">
        <v>46</v>
      </c>
      <c r="F30" s="115" t="s">
        <v>577</v>
      </c>
      <c r="G30" s="114" t="s">
        <v>64</v>
      </c>
      <c r="H30" s="114">
        <f>ROUND(41.28,3)</f>
        <v>41.28</v>
      </c>
      <c r="I30" s="114">
        <v>0</v>
      </c>
      <c r="J30" s="114">
        <f>ROUND(H30,3) * I30</f>
        <v>0</v>
      </c>
      <c r="K30" s="116"/>
      <c r="L30" s="117">
        <f>ROUND(ROUND(H30,3) * ROUND(K30,2),2)</f>
        <v>0</v>
      </c>
    </row>
    <row r="31" spans="1:12" x14ac:dyDescent="0.2">
      <c r="A31" s="124" t="s">
        <v>49</v>
      </c>
      <c r="B31" s="125"/>
      <c r="F31" s="119" t="s">
        <v>17</v>
      </c>
      <c r="L31" s="127"/>
    </row>
    <row r="32" spans="1:12" x14ac:dyDescent="0.2">
      <c r="A32" s="107" t="s">
        <v>51</v>
      </c>
      <c r="B32" s="125"/>
      <c r="F32" s="122" t="s">
        <v>578</v>
      </c>
      <c r="L32" s="127"/>
    </row>
    <row r="33" spans="1:12" ht="203.25" thickBot="1" x14ac:dyDescent="0.25">
      <c r="A33" s="124" t="s">
        <v>53</v>
      </c>
      <c r="B33" s="125"/>
      <c r="F33" s="123" t="s">
        <v>579</v>
      </c>
      <c r="L33" s="127"/>
    </row>
    <row r="34" spans="1:12" ht="13.5" customHeight="1" thickBot="1" x14ac:dyDescent="0.25">
      <c r="B34" s="128" t="s">
        <v>58</v>
      </c>
      <c r="C34" s="129" t="s">
        <v>59</v>
      </c>
      <c r="D34" s="130"/>
      <c r="E34" s="130"/>
      <c r="F34" s="130" t="s">
        <v>426</v>
      </c>
      <c r="G34" s="130"/>
      <c r="H34" s="130"/>
      <c r="I34" s="130"/>
      <c r="J34" s="130"/>
      <c r="K34" s="130"/>
      <c r="L34" s="131">
        <f>SUM(L30:L33)</f>
        <v>0</v>
      </c>
    </row>
    <row r="35" spans="1:12" ht="20.100000000000001" customHeight="1" thickBot="1" x14ac:dyDescent="0.25">
      <c r="A35" s="124" t="s">
        <v>40</v>
      </c>
      <c r="B35" s="132" t="s">
        <v>41</v>
      </c>
      <c r="C35" s="109" t="s">
        <v>580</v>
      </c>
      <c r="D35" s="110"/>
      <c r="E35" s="110"/>
      <c r="F35" s="111" t="s">
        <v>581</v>
      </c>
      <c r="G35" s="110"/>
      <c r="H35" s="110"/>
      <c r="I35" s="110"/>
      <c r="J35" s="110"/>
      <c r="K35" s="110"/>
      <c r="L35" s="112"/>
    </row>
    <row r="36" spans="1:12" ht="11.25" customHeight="1" thickBot="1" x14ac:dyDescent="0.25">
      <c r="A36" s="124" t="s">
        <v>44</v>
      </c>
      <c r="B36" s="113">
        <v>5</v>
      </c>
      <c r="C36" s="114" t="s">
        <v>582</v>
      </c>
      <c r="D36" s="115" t="s">
        <v>60</v>
      </c>
      <c r="E36" s="115" t="s">
        <v>46</v>
      </c>
      <c r="F36" s="115" t="s">
        <v>583</v>
      </c>
      <c r="G36" s="114" t="s">
        <v>91</v>
      </c>
      <c r="H36" s="114">
        <f>ROUND(3,3)</f>
        <v>3</v>
      </c>
      <c r="I36" s="114">
        <v>0</v>
      </c>
      <c r="J36" s="114">
        <f>ROUND(H36,3) * I36</f>
        <v>0</v>
      </c>
      <c r="K36" s="116"/>
      <c r="L36" s="117">
        <f>ROUND(ROUND(H36,3) * ROUND(K36,2),2)</f>
        <v>0</v>
      </c>
    </row>
    <row r="37" spans="1:12" x14ac:dyDescent="0.2">
      <c r="A37" s="124" t="s">
        <v>49</v>
      </c>
      <c r="B37" s="125"/>
      <c r="F37" s="119" t="s">
        <v>17</v>
      </c>
      <c r="L37" s="127"/>
    </row>
    <row r="38" spans="1:12" x14ac:dyDescent="0.2">
      <c r="A38" s="107" t="s">
        <v>51</v>
      </c>
      <c r="B38" s="125"/>
      <c r="F38" s="122" t="s">
        <v>557</v>
      </c>
      <c r="L38" s="127"/>
    </row>
    <row r="39" spans="1:12" ht="79.5" thickBot="1" x14ac:dyDescent="0.25">
      <c r="A39" s="124" t="s">
        <v>53</v>
      </c>
      <c r="B39" s="125"/>
      <c r="F39" s="123" t="s">
        <v>584</v>
      </c>
      <c r="L39" s="127"/>
    </row>
    <row r="40" spans="1:12" ht="13.5" customHeight="1" thickBot="1" x14ac:dyDescent="0.25">
      <c r="B40" s="128" t="s">
        <v>58</v>
      </c>
      <c r="C40" s="129" t="s">
        <v>59</v>
      </c>
      <c r="D40" s="130"/>
      <c r="E40" s="130"/>
      <c r="F40" s="130" t="s">
        <v>581</v>
      </c>
      <c r="G40" s="130"/>
      <c r="H40" s="130"/>
      <c r="I40" s="130"/>
      <c r="J40" s="130"/>
      <c r="K40" s="130"/>
      <c r="L40" s="131">
        <f>SUM(L36:L39)</f>
        <v>0</v>
      </c>
    </row>
    <row r="41" spans="1:12" ht="20.100000000000001" customHeight="1" thickBot="1" x14ac:dyDescent="0.25">
      <c r="A41" s="124" t="s">
        <v>40</v>
      </c>
      <c r="B41" s="132" t="s">
        <v>41</v>
      </c>
      <c r="C41" s="109" t="s">
        <v>441</v>
      </c>
      <c r="D41" s="110"/>
      <c r="E41" s="110"/>
      <c r="F41" s="111" t="s">
        <v>442</v>
      </c>
      <c r="G41" s="110"/>
      <c r="H41" s="110"/>
      <c r="I41" s="110"/>
      <c r="J41" s="110"/>
      <c r="K41" s="110"/>
      <c r="L41" s="112"/>
    </row>
    <row r="42" spans="1:12" ht="11.25" customHeight="1" thickBot="1" x14ac:dyDescent="0.25">
      <c r="A42" s="124" t="s">
        <v>44</v>
      </c>
      <c r="B42" s="113">
        <v>6</v>
      </c>
      <c r="C42" s="114" t="s">
        <v>585</v>
      </c>
      <c r="D42" s="115" t="s">
        <v>508</v>
      </c>
      <c r="E42" s="115"/>
      <c r="F42" s="115" t="s">
        <v>586</v>
      </c>
      <c r="G42" s="114" t="s">
        <v>510</v>
      </c>
      <c r="H42" s="114">
        <f>ROUND(74.304,3)</f>
        <v>74.304000000000002</v>
      </c>
      <c r="I42" s="114">
        <v>0</v>
      </c>
      <c r="J42" s="114">
        <f>ROUND(H42,3) * I42</f>
        <v>0</v>
      </c>
      <c r="K42" s="116"/>
      <c r="L42" s="117">
        <f>ROUND(ROUND(H42,3) * ROUND(K42,2),2)</f>
        <v>0</v>
      </c>
    </row>
    <row r="43" spans="1:12" x14ac:dyDescent="0.2">
      <c r="A43" s="124" t="s">
        <v>49</v>
      </c>
      <c r="B43" s="125"/>
      <c r="F43" s="119" t="s">
        <v>511</v>
      </c>
      <c r="L43" s="127"/>
    </row>
    <row r="44" spans="1:12" x14ac:dyDescent="0.2">
      <c r="A44" s="107" t="s">
        <v>51</v>
      </c>
      <c r="B44" s="125"/>
      <c r="F44" s="122" t="s">
        <v>587</v>
      </c>
      <c r="L44" s="127"/>
    </row>
    <row r="45" spans="1:12" ht="102" thickBot="1" x14ac:dyDescent="0.25">
      <c r="A45" s="124" t="s">
        <v>53</v>
      </c>
      <c r="B45" s="125"/>
      <c r="F45" s="123" t="s">
        <v>513</v>
      </c>
      <c r="L45" s="127"/>
    </row>
    <row r="46" spans="1:12" ht="13.5" customHeight="1" thickBot="1" x14ac:dyDescent="0.25">
      <c r="B46" s="128" t="s">
        <v>58</v>
      </c>
      <c r="C46" s="129" t="s">
        <v>59</v>
      </c>
      <c r="D46" s="130"/>
      <c r="E46" s="130"/>
      <c r="F46" s="130" t="s">
        <v>442</v>
      </c>
      <c r="G46" s="130"/>
      <c r="H46" s="130"/>
      <c r="I46" s="130"/>
      <c r="J46" s="130"/>
      <c r="K46" s="130"/>
      <c r="L46" s="131">
        <f>SUM(L42:L45)</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92" priority="1">
      <formula>$E$5="Ostatní"</formula>
    </cfRule>
    <cfRule type="expression" dxfId="191"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B6093C3A-8EA0-48BA-8E69-7756E85C7C44}"/>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DD49F6C8-8BFD-4246-B3F4-0AD26D4979C3}">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A6AC6B53-3F8A-4D53-AC14-D246E8BF9D72}">
      <formula1>42370</formula1>
      <formula2>55153</formula2>
    </dataValidation>
    <dataValidation allowBlank="1" showInputMessage="1" showErrorMessage="1" promptTitle="S-kód" prompt="Číslo pod kterým je stavba evidovaná v systému SŽDC." sqref="K6" xr:uid="{A715FF20-2AEE-4A5A-88EC-75296EAE257F}"/>
    <dataValidation type="date" allowBlank="1" showInputMessage="1" showErrorMessage="1" errorTitle="Špatný datum" error="Datum musí být v rozmezí_x000a_od 1.1.2016_x000a_do 31.12.2050" promptTitle="Vložit datum" prompt="ve formátu: dd.mm.rrrr" sqref="K8" xr:uid="{438D933E-F019-477C-85A9-B96B066AAB19}">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3CF8C52F-8FB1-4D84-9030-C8FE108326DA}">
      <formula1>"801,802,803,811,812, 813, 814,815, 817, 821,822, 823,824,825,826,827,828,831,832,833,838,839"</formula1>
    </dataValidation>
    <dataValidation type="list" allowBlank="1" showInputMessage="1" showErrorMessage="1" promptTitle="Výběr stádia dle seznamu:" prompt="Stádium 3_x000a_Stádium 2" sqref="E5" xr:uid="{FFF7BCAD-F018-438F-A1C9-3B44241A4784}">
      <formula1>"Stádium 2,Stádium 3"</formula1>
    </dataValidation>
    <dataValidation type="date" allowBlank="1" showInputMessage="1" showErrorMessage="1" sqref="L8" xr:uid="{B16DE661-2DE1-47FB-9523-74D73CF7E764}">
      <formula1>42370</formula1>
      <formula2>55153</formula2>
    </dataValidation>
    <dataValidation type="list" allowBlank="1" showInputMessage="1" showErrorMessage="1" sqref="E6" xr:uid="{07DB7C92-ABC6-434A-966A-C1AB46CB74A2}">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8DAB0-E270-4702-AD00-96C8B5D77E7D}">
  <sheetPr codeName="List9">
    <pageSetUpPr fitToPage="1"/>
  </sheetPr>
  <dimension ref="A1:O46"/>
  <sheetViews>
    <sheetView showGridLines="0" topLeftCell="B1" zoomScale="85" zoomScaleNormal="85" zoomScaleSheetLayoutView="85" workbookViewId="0">
      <pane ySplit="12" topLeftCell="A34" activePane="bottomLeft" state="frozen"/>
      <selection activeCell="B1" sqref="B1"/>
      <selection pane="bottomLeft" activeCell="K14" sqref="K14:K46"/>
    </sheetView>
  </sheetViews>
  <sheetFormatPr defaultColWidth="9.140625" defaultRowHeight="11.25" x14ac:dyDescent="0.2"/>
  <cols>
    <col min="1" max="1" width="3.140625" style="124" hidden="1" customWidth="1"/>
    <col min="2" max="2" width="8.5703125" style="124" customWidth="1"/>
    <col min="3" max="3" width="10.5703125" style="124" customWidth="1"/>
    <col min="4" max="4" width="10" style="124" customWidth="1"/>
    <col min="5" max="5" width="11.42578125" style="124" customWidth="1"/>
    <col min="6" max="6" width="74.140625" style="124" customWidth="1"/>
    <col min="7" max="7" width="9" style="126" customWidth="1"/>
    <col min="8" max="8" width="13" style="126" customWidth="1"/>
    <col min="9" max="9" width="10.85546875" style="126" customWidth="1"/>
    <col min="10" max="10" width="10.140625" style="126" customWidth="1"/>
    <col min="11" max="11" width="12.85546875" style="126" customWidth="1"/>
    <col min="12" max="12" width="19" style="126" customWidth="1"/>
    <col min="13" max="14" width="9.140625" style="124"/>
    <col min="15" max="15" width="9.140625" style="124" customWidth="1"/>
    <col min="16" max="16384" width="9.140625" style="124"/>
  </cols>
  <sheetData>
    <row r="1" spans="1:15" s="67" customFormat="1" ht="30.75" customHeight="1" thickTop="1" thickBot="1" x14ac:dyDescent="0.3">
      <c r="B1" s="259" t="s">
        <v>0</v>
      </c>
      <c r="C1" s="260"/>
      <c r="D1" s="260"/>
      <c r="E1" s="260"/>
      <c r="F1" s="260"/>
      <c r="G1" s="260"/>
      <c r="H1" s="260"/>
      <c r="I1" s="68"/>
      <c r="J1" s="69"/>
      <c r="K1" s="69"/>
      <c r="L1" s="70" t="s">
        <v>588</v>
      </c>
    </row>
    <row r="2" spans="1:15" s="67" customFormat="1" ht="57" customHeight="1" thickTop="1" thickBot="1" x14ac:dyDescent="0.3">
      <c r="B2" s="261" t="s">
        <v>2</v>
      </c>
      <c r="C2" s="262"/>
      <c r="D2" s="71" t="s">
        <v>3</v>
      </c>
      <c r="E2" s="72"/>
      <c r="F2" s="73" t="s">
        <v>4</v>
      </c>
      <c r="G2" s="74"/>
      <c r="H2" s="75"/>
      <c r="I2" s="263" t="s">
        <v>5</v>
      </c>
      <c r="J2" s="264"/>
      <c r="K2" s="246">
        <f>SUMIFS(L:L,B:B,"SOUČET")</f>
        <v>0</v>
      </c>
      <c r="L2" s="247"/>
    </row>
    <row r="3" spans="1:15" s="67" customFormat="1" ht="42.75" customHeight="1" thickTop="1" thickBot="1" x14ac:dyDescent="0.3">
      <c r="B3" s="76" t="s">
        <v>6</v>
      </c>
      <c r="C3" s="77"/>
      <c r="D3" s="78" t="s">
        <v>588</v>
      </c>
      <c r="E3" s="79"/>
      <c r="F3" s="80" t="s">
        <v>589</v>
      </c>
      <c r="G3" s="81"/>
      <c r="H3" s="82"/>
      <c r="I3" s="83"/>
      <c r="J3" s="84"/>
      <c r="K3" s="248"/>
      <c r="L3" s="249"/>
    </row>
    <row r="4" spans="1:15" s="67" customFormat="1" ht="18" customHeight="1" thickTop="1" x14ac:dyDescent="0.25">
      <c r="B4" s="256" t="s">
        <v>8</v>
      </c>
      <c r="C4" s="245"/>
      <c r="D4" s="253"/>
      <c r="E4" s="85" t="s">
        <v>424</v>
      </c>
      <c r="F4" s="86" t="str">
        <f>INDEX('[9]Kategorie monitoringu'!A1:B34,MATCH(E4,'[9]Kategorie monitoringu'!A1:A34,0),2)</f>
        <v xml:space="preserve"> Kolejový svršek a spodek </v>
      </c>
      <c r="G4" s="87"/>
      <c r="H4" s="88"/>
      <c r="I4" s="257" t="s">
        <v>10</v>
      </c>
      <c r="J4" s="258"/>
      <c r="K4" s="89"/>
      <c r="L4" s="90"/>
    </row>
    <row r="5" spans="1:15" s="67" customFormat="1" ht="18" customHeight="1" x14ac:dyDescent="0.25">
      <c r="B5" s="91" t="s">
        <v>11</v>
      </c>
      <c r="C5" s="92"/>
      <c r="D5" s="92"/>
      <c r="E5" s="85" t="s">
        <v>12</v>
      </c>
      <c r="F5" s="250" t="str">
        <f>IF((E5="Stádium 2"),"  Dokumentace pro územní řízení - DUR",(IF((E5="Stádium 3"),"  Projektová dokumentace (DOS/DSP)","")))</f>
        <v xml:space="preserve">  Projektová dokumentace (DOS/DSP)</v>
      </c>
      <c r="G5" s="250"/>
      <c r="H5" s="251"/>
      <c r="I5" s="252" t="s">
        <v>13</v>
      </c>
      <c r="J5" s="253"/>
      <c r="K5" s="93" t="s">
        <v>14</v>
      </c>
      <c r="L5" s="94"/>
    </row>
    <row r="6" spans="1:15" s="67" customFormat="1" ht="18" customHeight="1" x14ac:dyDescent="0.2">
      <c r="B6" s="91" t="s">
        <v>15</v>
      </c>
      <c r="C6" s="92"/>
      <c r="D6" s="92"/>
      <c r="E6" s="93" t="s">
        <v>16</v>
      </c>
      <c r="F6" s="254" t="s">
        <v>17</v>
      </c>
      <c r="G6" s="254"/>
      <c r="H6" s="255"/>
      <c r="I6" s="252" t="s">
        <v>18</v>
      </c>
      <c r="J6" s="253"/>
      <c r="K6" s="93" t="s">
        <v>19</v>
      </c>
      <c r="L6" s="94"/>
      <c r="O6" s="95"/>
    </row>
    <row r="7" spans="1:15" s="67" customFormat="1" ht="18" customHeight="1" x14ac:dyDescent="0.2">
      <c r="B7" s="240" t="s">
        <v>20</v>
      </c>
      <c r="C7" s="231"/>
      <c r="D7" s="231"/>
      <c r="E7" s="96">
        <v>45108</v>
      </c>
      <c r="F7" s="241" t="s">
        <v>21</v>
      </c>
      <c r="G7" s="242"/>
      <c r="H7" s="243"/>
      <c r="I7" s="244" t="s">
        <v>22</v>
      </c>
      <c r="J7" s="245"/>
      <c r="K7" s="97">
        <v>2022</v>
      </c>
      <c r="L7" s="94"/>
      <c r="O7" s="98"/>
    </row>
    <row r="8" spans="1:15" s="67" customFormat="1" ht="19.5" customHeight="1" thickBot="1" x14ac:dyDescent="0.3">
      <c r="B8" s="226" t="s">
        <v>23</v>
      </c>
      <c r="C8" s="227"/>
      <c r="D8" s="227"/>
      <c r="E8" s="99">
        <v>45243</v>
      </c>
      <c r="F8" s="100" t="s">
        <v>266</v>
      </c>
      <c r="G8" s="228" t="s">
        <v>267</v>
      </c>
      <c r="H8" s="229"/>
      <c r="I8" s="230" t="s">
        <v>26</v>
      </c>
      <c r="J8" s="231"/>
      <c r="K8" s="101" t="s">
        <v>27</v>
      </c>
      <c r="L8" s="102"/>
    </row>
    <row r="9" spans="1:15" s="67" customFormat="1" ht="9.75" customHeight="1" x14ac:dyDescent="0.25">
      <c r="B9" s="232" t="s">
        <v>4</v>
      </c>
      <c r="C9" s="233"/>
      <c r="D9" s="233"/>
      <c r="E9" s="233"/>
      <c r="F9" s="233"/>
      <c r="G9" s="233"/>
      <c r="H9" s="233"/>
      <c r="I9" s="233"/>
      <c r="J9" s="233"/>
      <c r="K9" s="103" t="str">
        <f>$I$5</f>
        <v>ISPROFIN:</v>
      </c>
      <c r="L9" s="104" t="s">
        <v>17</v>
      </c>
    </row>
    <row r="10" spans="1:15" s="67" customFormat="1" ht="15" customHeight="1" x14ac:dyDescent="0.25">
      <c r="B10" s="234" t="s">
        <v>28</v>
      </c>
      <c r="C10" s="236" t="s">
        <v>29</v>
      </c>
      <c r="D10" s="236" t="s">
        <v>30</v>
      </c>
      <c r="E10" s="236" t="s">
        <v>31</v>
      </c>
      <c r="F10" s="238" t="s">
        <v>32</v>
      </c>
      <c r="G10" s="238" t="s">
        <v>33</v>
      </c>
      <c r="H10" s="238" t="s">
        <v>34</v>
      </c>
      <c r="I10" s="236" t="s">
        <v>35</v>
      </c>
      <c r="J10" s="236" t="s">
        <v>36</v>
      </c>
      <c r="K10" s="224" t="s">
        <v>37</v>
      </c>
      <c r="L10" s="225"/>
    </row>
    <row r="11" spans="1:15" s="67" customFormat="1" ht="15" customHeight="1" x14ac:dyDescent="0.25">
      <c r="B11" s="234"/>
      <c r="C11" s="236"/>
      <c r="D11" s="236"/>
      <c r="E11" s="236"/>
      <c r="F11" s="238"/>
      <c r="G11" s="238"/>
      <c r="H11" s="238"/>
      <c r="I11" s="236"/>
      <c r="J11" s="236"/>
      <c r="K11" s="224"/>
      <c r="L11" s="225"/>
    </row>
    <row r="12" spans="1:15" s="67" customFormat="1" ht="12.75" customHeight="1" thickBot="1" x14ac:dyDescent="0.3">
      <c r="B12" s="235"/>
      <c r="C12" s="237"/>
      <c r="D12" s="237"/>
      <c r="E12" s="237"/>
      <c r="F12" s="239"/>
      <c r="G12" s="239"/>
      <c r="H12" s="239"/>
      <c r="I12" s="237"/>
      <c r="J12" s="237"/>
      <c r="K12" s="105" t="s">
        <v>38</v>
      </c>
      <c r="L12" s="106" t="s">
        <v>39</v>
      </c>
    </row>
    <row r="13" spans="1:15" s="107" customFormat="1" ht="20.100000000000001" customHeight="1" thickBot="1" x14ac:dyDescent="0.3">
      <c r="A13" s="107" t="s">
        <v>40</v>
      </c>
      <c r="B13" s="108" t="s">
        <v>41</v>
      </c>
      <c r="C13" s="109" t="s">
        <v>60</v>
      </c>
      <c r="D13" s="110"/>
      <c r="E13" s="110"/>
      <c r="F13" s="111" t="s">
        <v>17</v>
      </c>
      <c r="G13" s="110"/>
      <c r="H13" s="110"/>
      <c r="I13" s="110"/>
      <c r="J13" s="110"/>
      <c r="K13" s="110"/>
      <c r="L13" s="112"/>
    </row>
    <row r="14" spans="1:15" s="107" customFormat="1" ht="11.25" customHeight="1" thickBot="1" x14ac:dyDescent="0.3">
      <c r="A14" s="107" t="s">
        <v>44</v>
      </c>
      <c r="B14" s="113">
        <v>1</v>
      </c>
      <c r="C14" s="114" t="s">
        <v>563</v>
      </c>
      <c r="D14" s="115" t="s">
        <v>60</v>
      </c>
      <c r="E14" s="115" t="s">
        <v>46</v>
      </c>
      <c r="F14" s="115" t="s">
        <v>564</v>
      </c>
      <c r="G14" s="114" t="s">
        <v>64</v>
      </c>
      <c r="H14" s="114">
        <f>ROUND(47.04,3)</f>
        <v>47.04</v>
      </c>
      <c r="I14" s="114">
        <v>0</v>
      </c>
      <c r="J14" s="114">
        <f>ROUND(H14,3) * I14</f>
        <v>0</v>
      </c>
      <c r="K14" s="116"/>
      <c r="L14" s="117">
        <f>ROUND(ROUND(H14,3) * ROUND(K14,2),2)</f>
        <v>0</v>
      </c>
    </row>
    <row r="15" spans="1:15" s="107" customFormat="1" x14ac:dyDescent="0.25">
      <c r="A15" s="107" t="s">
        <v>49</v>
      </c>
      <c r="B15" s="118"/>
      <c r="F15" s="119" t="s">
        <v>17</v>
      </c>
      <c r="G15" s="120"/>
      <c r="H15" s="120"/>
      <c r="I15" s="120"/>
      <c r="J15" s="120"/>
      <c r="K15" s="120"/>
      <c r="L15" s="121"/>
    </row>
    <row r="16" spans="1:15" s="107" customFormat="1" x14ac:dyDescent="0.25">
      <c r="A16" s="107" t="s">
        <v>51</v>
      </c>
      <c r="B16" s="118"/>
      <c r="F16" s="122" t="s">
        <v>590</v>
      </c>
      <c r="G16" s="120"/>
      <c r="H16" s="120"/>
      <c r="I16" s="120"/>
      <c r="J16" s="120"/>
      <c r="K16" s="120"/>
      <c r="L16" s="121"/>
    </row>
    <row r="17" spans="1:12" s="107" customFormat="1" ht="304.5" thickBot="1" x14ac:dyDescent="0.3">
      <c r="A17" s="107" t="s">
        <v>53</v>
      </c>
      <c r="B17" s="118"/>
      <c r="F17" s="123" t="s">
        <v>566</v>
      </c>
      <c r="G17" s="120"/>
      <c r="H17" s="120"/>
      <c r="I17" s="120"/>
      <c r="J17" s="120"/>
      <c r="K17" s="120"/>
      <c r="L17" s="121"/>
    </row>
    <row r="18" spans="1:12" ht="13.5" customHeight="1" thickBot="1" x14ac:dyDescent="0.25">
      <c r="B18" s="128" t="s">
        <v>58</v>
      </c>
      <c r="C18" s="129" t="s">
        <v>59</v>
      </c>
      <c r="D18" s="130"/>
      <c r="E18" s="130"/>
      <c r="F18" s="130" t="s">
        <v>17</v>
      </c>
      <c r="G18" s="130"/>
      <c r="H18" s="130"/>
      <c r="I18" s="130"/>
      <c r="J18" s="130"/>
      <c r="K18" s="130"/>
      <c r="L18" s="131">
        <f>SUM(L14:L17)</f>
        <v>0</v>
      </c>
    </row>
    <row r="19" spans="1:12" ht="20.100000000000001" customHeight="1" thickBot="1" x14ac:dyDescent="0.25">
      <c r="A19" s="124" t="s">
        <v>40</v>
      </c>
      <c r="B19" s="132" t="s">
        <v>41</v>
      </c>
      <c r="C19" s="109" t="s">
        <v>198</v>
      </c>
      <c r="D19" s="110"/>
      <c r="E19" s="110"/>
      <c r="F19" s="111" t="s">
        <v>17</v>
      </c>
      <c r="G19" s="110"/>
      <c r="H19" s="110"/>
      <c r="I19" s="110"/>
      <c r="J19" s="110"/>
      <c r="K19" s="110"/>
      <c r="L19" s="112"/>
    </row>
    <row r="20" spans="1:12" ht="11.25" customHeight="1" thickBot="1" x14ac:dyDescent="0.25">
      <c r="A20" s="124" t="s">
        <v>44</v>
      </c>
      <c r="B20" s="113">
        <v>2</v>
      </c>
      <c r="C20" s="114" t="s">
        <v>568</v>
      </c>
      <c r="D20" s="115" t="s">
        <v>60</v>
      </c>
      <c r="E20" s="115" t="s">
        <v>46</v>
      </c>
      <c r="F20" s="115" t="s">
        <v>569</v>
      </c>
      <c r="G20" s="114" t="s">
        <v>81</v>
      </c>
      <c r="H20" s="114">
        <f>ROUND(61.12,3)</f>
        <v>61.12</v>
      </c>
      <c r="I20" s="114">
        <v>0</v>
      </c>
      <c r="J20" s="114">
        <f>ROUND(H20,3) * I20</f>
        <v>0</v>
      </c>
      <c r="K20" s="116"/>
      <c r="L20" s="117">
        <f>ROUND(ROUND(H20,3) * ROUND(K20,2),2)</f>
        <v>0</v>
      </c>
    </row>
    <row r="21" spans="1:12" x14ac:dyDescent="0.2">
      <c r="A21" s="124" t="s">
        <v>49</v>
      </c>
      <c r="B21" s="125"/>
      <c r="F21" s="119" t="s">
        <v>17</v>
      </c>
      <c r="L21" s="127"/>
    </row>
    <row r="22" spans="1:12" x14ac:dyDescent="0.2">
      <c r="A22" s="107" t="s">
        <v>51</v>
      </c>
      <c r="B22" s="125"/>
      <c r="F22" s="122" t="s">
        <v>591</v>
      </c>
      <c r="L22" s="127"/>
    </row>
    <row r="23" spans="1:12" ht="23.25" thickBot="1" x14ac:dyDescent="0.25">
      <c r="A23" s="124" t="s">
        <v>53</v>
      </c>
      <c r="B23" s="125"/>
      <c r="F23" s="123" t="s">
        <v>571</v>
      </c>
      <c r="L23" s="127"/>
    </row>
    <row r="24" spans="1:12" ht="11.25" customHeight="1" thickBot="1" x14ac:dyDescent="0.25">
      <c r="A24" s="124" t="s">
        <v>44</v>
      </c>
      <c r="B24" s="113">
        <v>3</v>
      </c>
      <c r="C24" s="114" t="s">
        <v>592</v>
      </c>
      <c r="D24" s="115" t="s">
        <v>60</v>
      </c>
      <c r="E24" s="115" t="s">
        <v>46</v>
      </c>
      <c r="F24" s="115" t="s">
        <v>593</v>
      </c>
      <c r="G24" s="114" t="s">
        <v>69</v>
      </c>
      <c r="H24" s="114">
        <f>ROUND(26.7,3)</f>
        <v>26.7</v>
      </c>
      <c r="I24" s="114">
        <v>0</v>
      </c>
      <c r="J24" s="114">
        <f>ROUND(H24,3) * I24</f>
        <v>0</v>
      </c>
      <c r="K24" s="116"/>
      <c r="L24" s="117">
        <f>ROUND(ROUND(H24,3) * ROUND(K24,2),2)</f>
        <v>0</v>
      </c>
    </row>
    <row r="25" spans="1:12" x14ac:dyDescent="0.2">
      <c r="A25" s="124" t="s">
        <v>49</v>
      </c>
      <c r="B25" s="125"/>
      <c r="F25" s="119" t="s">
        <v>17</v>
      </c>
      <c r="L25" s="127"/>
    </row>
    <row r="26" spans="1:12" x14ac:dyDescent="0.2">
      <c r="A26" s="107" t="s">
        <v>51</v>
      </c>
      <c r="B26" s="125"/>
      <c r="F26" s="122" t="s">
        <v>594</v>
      </c>
      <c r="L26" s="127"/>
    </row>
    <row r="27" spans="1:12" ht="124.5" thickBot="1" x14ac:dyDescent="0.25">
      <c r="A27" s="124" t="s">
        <v>53</v>
      </c>
      <c r="B27" s="125"/>
      <c r="F27" s="123" t="s">
        <v>575</v>
      </c>
      <c r="L27" s="127"/>
    </row>
    <row r="28" spans="1:12" ht="13.5" customHeight="1" thickBot="1" x14ac:dyDescent="0.25">
      <c r="B28" s="128" t="s">
        <v>58</v>
      </c>
      <c r="C28" s="129" t="s">
        <v>59</v>
      </c>
      <c r="D28" s="130"/>
      <c r="E28" s="130"/>
      <c r="F28" s="130" t="s">
        <v>17</v>
      </c>
      <c r="G28" s="130"/>
      <c r="H28" s="130"/>
      <c r="I28" s="130"/>
      <c r="J28" s="130"/>
      <c r="K28" s="130"/>
      <c r="L28" s="131">
        <f>SUM(L20:L27)</f>
        <v>0</v>
      </c>
    </row>
    <row r="29" spans="1:12" ht="20.100000000000001" customHeight="1" thickBot="1" x14ac:dyDescent="0.25">
      <c r="A29" s="124" t="s">
        <v>40</v>
      </c>
      <c r="B29" s="132" t="s">
        <v>41</v>
      </c>
      <c r="C29" s="109" t="s">
        <v>425</v>
      </c>
      <c r="D29" s="110"/>
      <c r="E29" s="110"/>
      <c r="F29" s="111" t="s">
        <v>17</v>
      </c>
      <c r="G29" s="110"/>
      <c r="H29" s="110"/>
      <c r="I29" s="110"/>
      <c r="J29" s="110"/>
      <c r="K29" s="110"/>
      <c r="L29" s="112"/>
    </row>
    <row r="30" spans="1:12" ht="11.25" customHeight="1" thickBot="1" x14ac:dyDescent="0.25">
      <c r="A30" s="124" t="s">
        <v>44</v>
      </c>
      <c r="B30" s="113">
        <v>4</v>
      </c>
      <c r="C30" s="114" t="s">
        <v>576</v>
      </c>
      <c r="D30" s="115" t="s">
        <v>60</v>
      </c>
      <c r="E30" s="115" t="s">
        <v>46</v>
      </c>
      <c r="F30" s="115" t="s">
        <v>577</v>
      </c>
      <c r="G30" s="114" t="s">
        <v>64</v>
      </c>
      <c r="H30" s="114">
        <f>ROUND(47.04,3)</f>
        <v>47.04</v>
      </c>
      <c r="I30" s="114">
        <v>0</v>
      </c>
      <c r="J30" s="114">
        <f>ROUND(H30,3) * I30</f>
        <v>0</v>
      </c>
      <c r="K30" s="116"/>
      <c r="L30" s="117">
        <f>ROUND(ROUND(H30,3) * ROUND(K30,2),2)</f>
        <v>0</v>
      </c>
    </row>
    <row r="31" spans="1:12" x14ac:dyDescent="0.2">
      <c r="A31" s="124" t="s">
        <v>49</v>
      </c>
      <c r="B31" s="125"/>
      <c r="F31" s="119" t="s">
        <v>17</v>
      </c>
      <c r="L31" s="127"/>
    </row>
    <row r="32" spans="1:12" x14ac:dyDescent="0.2">
      <c r="A32" s="107" t="s">
        <v>51</v>
      </c>
      <c r="B32" s="125"/>
      <c r="F32" s="122" t="s">
        <v>595</v>
      </c>
      <c r="L32" s="127"/>
    </row>
    <row r="33" spans="1:12" ht="203.25" thickBot="1" x14ac:dyDescent="0.25">
      <c r="A33" s="124" t="s">
        <v>53</v>
      </c>
      <c r="B33" s="125"/>
      <c r="F33" s="123" t="s">
        <v>579</v>
      </c>
      <c r="L33" s="127"/>
    </row>
    <row r="34" spans="1:12" ht="13.5" customHeight="1" thickBot="1" x14ac:dyDescent="0.25">
      <c r="B34" s="128" t="s">
        <v>58</v>
      </c>
      <c r="C34" s="129" t="s">
        <v>59</v>
      </c>
      <c r="D34" s="130"/>
      <c r="E34" s="130"/>
      <c r="F34" s="130" t="s">
        <v>17</v>
      </c>
      <c r="G34" s="130"/>
      <c r="H34" s="130"/>
      <c r="I34" s="130"/>
      <c r="J34" s="130"/>
      <c r="K34" s="130"/>
      <c r="L34" s="131">
        <f>SUM(L30:L33)</f>
        <v>0</v>
      </c>
    </row>
    <row r="35" spans="1:12" ht="20.100000000000001" customHeight="1" thickBot="1" x14ac:dyDescent="0.25">
      <c r="A35" s="124" t="s">
        <v>40</v>
      </c>
      <c r="B35" s="132" t="s">
        <v>41</v>
      </c>
      <c r="C35" s="109" t="s">
        <v>580</v>
      </c>
      <c r="D35" s="110"/>
      <c r="E35" s="110"/>
      <c r="F35" s="111" t="s">
        <v>17</v>
      </c>
      <c r="G35" s="110"/>
      <c r="H35" s="110"/>
      <c r="I35" s="110"/>
      <c r="J35" s="110"/>
      <c r="K35" s="110"/>
      <c r="L35" s="112"/>
    </row>
    <row r="36" spans="1:12" ht="11.25" customHeight="1" thickBot="1" x14ac:dyDescent="0.25">
      <c r="A36" s="124" t="s">
        <v>44</v>
      </c>
      <c r="B36" s="113">
        <v>5</v>
      </c>
      <c r="C36" s="114" t="s">
        <v>582</v>
      </c>
      <c r="D36" s="115" t="s">
        <v>60</v>
      </c>
      <c r="E36" s="115" t="s">
        <v>46</v>
      </c>
      <c r="F36" s="115" t="s">
        <v>583</v>
      </c>
      <c r="G36" s="114" t="s">
        <v>91</v>
      </c>
      <c r="H36" s="114">
        <f>ROUND(2,3)</f>
        <v>2</v>
      </c>
      <c r="I36" s="114">
        <v>0</v>
      </c>
      <c r="J36" s="114">
        <f>ROUND(H36,3) * I36</f>
        <v>0</v>
      </c>
      <c r="K36" s="116"/>
      <c r="L36" s="117">
        <f>ROUND(ROUND(H36,3) * ROUND(K36,2),2)</f>
        <v>0</v>
      </c>
    </row>
    <row r="37" spans="1:12" x14ac:dyDescent="0.2">
      <c r="A37" s="124" t="s">
        <v>49</v>
      </c>
      <c r="B37" s="125"/>
      <c r="F37" s="119" t="s">
        <v>17</v>
      </c>
      <c r="L37" s="127"/>
    </row>
    <row r="38" spans="1:12" x14ac:dyDescent="0.2">
      <c r="A38" s="107" t="s">
        <v>51</v>
      </c>
      <c r="B38" s="125"/>
      <c r="F38" s="122" t="s">
        <v>596</v>
      </c>
      <c r="L38" s="127"/>
    </row>
    <row r="39" spans="1:12" ht="79.5" thickBot="1" x14ac:dyDescent="0.25">
      <c r="A39" s="124" t="s">
        <v>53</v>
      </c>
      <c r="B39" s="125"/>
      <c r="F39" s="123" t="s">
        <v>584</v>
      </c>
      <c r="L39" s="127"/>
    </row>
    <row r="40" spans="1:12" ht="13.5" customHeight="1" thickBot="1" x14ac:dyDescent="0.25">
      <c r="B40" s="128" t="s">
        <v>58</v>
      </c>
      <c r="C40" s="129" t="s">
        <v>59</v>
      </c>
      <c r="D40" s="130"/>
      <c r="E40" s="130"/>
      <c r="F40" s="130" t="s">
        <v>17</v>
      </c>
      <c r="G40" s="130"/>
      <c r="H40" s="130"/>
      <c r="I40" s="130"/>
      <c r="J40" s="130"/>
      <c r="K40" s="130"/>
      <c r="L40" s="131">
        <f>SUM(L36:L39)</f>
        <v>0</v>
      </c>
    </row>
    <row r="41" spans="1:12" ht="20.100000000000001" customHeight="1" thickBot="1" x14ac:dyDescent="0.25">
      <c r="A41" s="124" t="s">
        <v>40</v>
      </c>
      <c r="B41" s="132" t="s">
        <v>41</v>
      </c>
      <c r="C41" s="109" t="s">
        <v>441</v>
      </c>
      <c r="D41" s="110"/>
      <c r="E41" s="110"/>
      <c r="F41" s="111" t="s">
        <v>17</v>
      </c>
      <c r="G41" s="110"/>
      <c r="H41" s="110"/>
      <c r="I41" s="110"/>
      <c r="J41" s="110"/>
      <c r="K41" s="110"/>
      <c r="L41" s="112"/>
    </row>
    <row r="42" spans="1:12" ht="11.25" customHeight="1" thickBot="1" x14ac:dyDescent="0.25">
      <c r="A42" s="124" t="s">
        <v>44</v>
      </c>
      <c r="B42" s="113">
        <v>6</v>
      </c>
      <c r="C42" s="114" t="s">
        <v>585</v>
      </c>
      <c r="D42" s="115" t="s">
        <v>508</v>
      </c>
      <c r="E42" s="115"/>
      <c r="F42" s="115" t="s">
        <v>586</v>
      </c>
      <c r="G42" s="114" t="s">
        <v>510</v>
      </c>
      <c r="H42" s="114">
        <f>ROUND(84.672,3)</f>
        <v>84.671999999999997</v>
      </c>
      <c r="I42" s="114">
        <v>0</v>
      </c>
      <c r="J42" s="114">
        <f>ROUND(H42,3) * I42</f>
        <v>0</v>
      </c>
      <c r="K42" s="116"/>
      <c r="L42" s="117">
        <f>ROUND(ROUND(H42,3) * ROUND(K42,2),2)</f>
        <v>0</v>
      </c>
    </row>
    <row r="43" spans="1:12" x14ac:dyDescent="0.2">
      <c r="A43" s="124" t="s">
        <v>49</v>
      </c>
      <c r="B43" s="125"/>
      <c r="F43" s="119" t="s">
        <v>511</v>
      </c>
      <c r="L43" s="127"/>
    </row>
    <row r="44" spans="1:12" x14ac:dyDescent="0.2">
      <c r="A44" s="107" t="s">
        <v>51</v>
      </c>
      <c r="B44" s="125"/>
      <c r="F44" s="122" t="s">
        <v>597</v>
      </c>
      <c r="L44" s="127"/>
    </row>
    <row r="45" spans="1:12" ht="102" thickBot="1" x14ac:dyDescent="0.25">
      <c r="A45" s="124" t="s">
        <v>53</v>
      </c>
      <c r="B45" s="125"/>
      <c r="F45" s="123" t="s">
        <v>513</v>
      </c>
      <c r="L45" s="127"/>
    </row>
    <row r="46" spans="1:12" ht="13.5" customHeight="1" thickBot="1" x14ac:dyDescent="0.25">
      <c r="B46" s="128" t="s">
        <v>58</v>
      </c>
      <c r="C46" s="129" t="s">
        <v>59</v>
      </c>
      <c r="D46" s="130"/>
      <c r="E46" s="130"/>
      <c r="F46" s="130" t="s">
        <v>17</v>
      </c>
      <c r="G46" s="130"/>
      <c r="H46" s="130"/>
      <c r="I46" s="130"/>
      <c r="J46" s="130"/>
      <c r="K46" s="130"/>
      <c r="L46" s="131">
        <f>SUM(L42:L45)</f>
        <v>0</v>
      </c>
    </row>
  </sheetData>
  <sheetProtection algorithmName="SHA-512" hashValue="L8a0ohjQuGakihm066Cj1hhZ2b8AKvxInsfXpVxDj/uyBWM1hf4kn+nQHh2Jnzm+u4I7W4zsL34H5Hd7YANqgw==" saltValue="VKvNyrCYuETYLwBkt1EuXQ==" spinCount="100000" sheet="1" objects="1" scenarios="1"/>
  <autoFilter ref="A12:L12" xr:uid="{00000000-0009-0000-0000-000000000000}"/>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90" priority="1">
      <formula>$E$5="Ostatní"</formula>
    </cfRule>
    <cfRule type="expression" dxfId="189" priority="2">
      <formula>$E$6="Ostatní"</formula>
    </cfRule>
  </conditionalFormatting>
  <dataValidations count="9">
    <dataValidation allowBlank="1" showInputMessage="1" showErrorMessage="1" promptTitle="Číselné označení SO/PS " prompt="musí být uvedeno i v názvu listu SO (nebo PS) XX-XX-XX._x000a_Každé SO/PS musí být zpracováno v samostatném formuláři." sqref="D3" xr:uid="{B145D4B9-BC47-4757-82EE-2559E8EDDFB5}"/>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AE69E2AB-64DD-4490-922F-3A250DFEC54B}">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986F08F-AC50-4D63-BCC8-8E6D250867B9}">
      <formula1>42370</formula1>
      <formula2>55153</formula2>
    </dataValidation>
    <dataValidation allowBlank="1" showInputMessage="1" showErrorMessage="1" promptTitle="S-kód" prompt="Číslo pod kterým je stavba evidovaná v systému SŽDC." sqref="K6" xr:uid="{F3576D07-AA1D-495A-AB40-333BAA9FCE9D}"/>
    <dataValidation type="date" allowBlank="1" showInputMessage="1" showErrorMessage="1" errorTitle="Špatný datum" error="Datum musí být v rozmezí_x000a_od 1.1.2016_x000a_do 31.12.2050" promptTitle="Vložit datum" prompt="ve formátu: dd.mm.rrrr" sqref="K8" xr:uid="{09D617B5-3501-4A8A-9032-C13232CB5876}">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4F8F419D-F969-41D8-82D9-0C7246B8E6EC}">
      <formula1>"801,802,803,811,812, 813, 814,815, 817, 821,822, 823,824,825,826,827,828,831,832,833,838,839"</formula1>
    </dataValidation>
    <dataValidation type="list" allowBlank="1" showInputMessage="1" showErrorMessage="1" promptTitle="Výběr stádia dle seznamu:" prompt="Stádium 3_x000a_Stádium 2" sqref="E5" xr:uid="{6AA497BB-4EE3-4132-8D81-897DC414E87B}">
      <formula1>"Stádium 2,Stádium 3"</formula1>
    </dataValidation>
    <dataValidation type="date" allowBlank="1" showInputMessage="1" showErrorMessage="1" sqref="L8" xr:uid="{D9123064-07DB-40AA-B90C-D6C4F2B5E25C}">
      <formula1>42370</formula1>
      <formula2>55153</formula2>
    </dataValidation>
    <dataValidation type="list" allowBlank="1" showInputMessage="1" showErrorMessage="1" sqref="E6" xr:uid="{F425F3FA-3F55-48F6-8CC9-7BE7CFB6F196}">
      <formula1>"SŽ, Ostatní"</formula1>
    </dataValidation>
  </dataValidations>
  <pageMargins left="0.70833330000000005" right="0.70833330000000005" top="0.74791660000000004" bottom="0.74791660000000004" header="0.3152778" footer="0.3152778"/>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19</vt:i4>
      </vt:variant>
    </vt:vector>
  </HeadingPairs>
  <TitlesOfParts>
    <vt:vector size="37" baseType="lpstr">
      <vt:lpstr>PS 01</vt:lpstr>
      <vt:lpstr>PS 02</vt:lpstr>
      <vt:lpstr>PS 03</vt:lpstr>
      <vt:lpstr>SO 01-1</vt:lpstr>
      <vt:lpstr>SO 01-1.1</vt:lpstr>
      <vt:lpstr>SO 01-2.1</vt:lpstr>
      <vt:lpstr>SO 01-2</vt:lpstr>
      <vt:lpstr>SO 02-1</vt:lpstr>
      <vt:lpstr>SO 02-2</vt:lpstr>
      <vt:lpstr>SO 03-1</vt:lpstr>
      <vt:lpstr>SO 03-2</vt:lpstr>
      <vt:lpstr>SO 03-3</vt:lpstr>
      <vt:lpstr>SO 03-4</vt:lpstr>
      <vt:lpstr>SO 04-1</vt:lpstr>
      <vt:lpstr>SO 04-2</vt:lpstr>
      <vt:lpstr>SO 05</vt:lpstr>
      <vt:lpstr>SO 06</vt:lpstr>
      <vt:lpstr>SO 98-98</vt:lpstr>
      <vt:lpstr>'PS 01'!Názvy_tisku</vt:lpstr>
      <vt:lpstr>'PS 02'!Názvy_tisku</vt:lpstr>
      <vt:lpstr>'PS 03'!Názvy_tisku</vt:lpstr>
      <vt:lpstr>'SO 01-1'!Názvy_tisku</vt:lpstr>
      <vt:lpstr>'SO 01-1.1'!Názvy_tisku</vt:lpstr>
      <vt:lpstr>'SO 01-2'!Názvy_tisku</vt:lpstr>
      <vt:lpstr>'SO 01-2.1'!Názvy_tisku</vt:lpstr>
      <vt:lpstr>'SO 02-1'!Názvy_tisku</vt:lpstr>
      <vt:lpstr>'SO 02-2'!Názvy_tisku</vt:lpstr>
      <vt:lpstr>'SO 03-1'!Názvy_tisku</vt:lpstr>
      <vt:lpstr>'SO 03-2'!Názvy_tisku</vt:lpstr>
      <vt:lpstr>'SO 03-3'!Názvy_tisku</vt:lpstr>
      <vt:lpstr>'SO 03-4'!Názvy_tisku</vt:lpstr>
      <vt:lpstr>'SO 04-1'!Názvy_tisku</vt:lpstr>
      <vt:lpstr>'SO 04-2'!Názvy_tisku</vt:lpstr>
      <vt:lpstr>'SO 05'!Názvy_tisku</vt:lpstr>
      <vt:lpstr>'SO 06'!Názvy_tisku</vt:lpstr>
      <vt:lpstr>'SO 98-98'!Názvy_tisku</vt:lpstr>
      <vt:lpstr>'SO 98-98'!Oblast_tisku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Štepán Filip</dc:creator>
  <cp:lastModifiedBy>Hanová Michaela, Ing.</cp:lastModifiedBy>
  <cp:lastPrinted>2023-03-17T06:46:34Z</cp:lastPrinted>
  <dcterms:created xsi:type="dcterms:W3CDTF">2015-06-05T18:19:34Z</dcterms:created>
  <dcterms:modified xsi:type="dcterms:W3CDTF">2023-11-07T07:57:38Z</dcterms:modified>
</cp:coreProperties>
</file>